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alia\Downloads\"/>
    </mc:Choice>
  </mc:AlternateContent>
  <bookViews>
    <workbookView xWindow="0" yWindow="0" windowWidth="28800" windowHeight="12030" tabRatio="500"/>
  </bookViews>
  <sheets>
    <sheet name="Calculadora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0" i="1" l="1"/>
  <c r="I80" i="1"/>
  <c r="H80" i="1"/>
  <c r="G80" i="1"/>
  <c r="F80" i="1"/>
  <c r="E80" i="1"/>
  <c r="D80" i="1"/>
  <c r="C80" i="1"/>
  <c r="B80" i="1"/>
  <c r="A80" i="1"/>
  <c r="J79" i="1"/>
  <c r="I79" i="1"/>
  <c r="H79" i="1"/>
  <c r="G79" i="1"/>
  <c r="F79" i="1"/>
  <c r="E79" i="1"/>
  <c r="D79" i="1"/>
  <c r="C79" i="1"/>
  <c r="B79" i="1"/>
  <c r="A79" i="1"/>
  <c r="J78" i="1"/>
  <c r="I78" i="1"/>
  <c r="H78" i="1"/>
  <c r="G78" i="1"/>
  <c r="F78" i="1"/>
  <c r="E78" i="1"/>
  <c r="D78" i="1"/>
  <c r="C78" i="1"/>
  <c r="B78" i="1"/>
  <c r="A78" i="1"/>
  <c r="J77" i="1"/>
  <c r="I77" i="1"/>
  <c r="H77" i="1"/>
  <c r="G77" i="1"/>
  <c r="F77" i="1"/>
  <c r="E77" i="1"/>
  <c r="D77" i="1"/>
  <c r="C77" i="1"/>
  <c r="B77" i="1"/>
  <c r="A77" i="1"/>
  <c r="J76" i="1"/>
  <c r="I76" i="1"/>
  <c r="H76" i="1"/>
  <c r="G76" i="1"/>
  <c r="F76" i="1"/>
  <c r="E76" i="1"/>
  <c r="D76" i="1"/>
  <c r="C76" i="1"/>
  <c r="B76" i="1"/>
  <c r="A76" i="1"/>
  <c r="J75" i="1"/>
  <c r="I75" i="1"/>
  <c r="H75" i="1"/>
  <c r="G75" i="1"/>
  <c r="F75" i="1"/>
  <c r="E75" i="1"/>
  <c r="D75" i="1"/>
  <c r="C75" i="1"/>
  <c r="B75" i="1"/>
  <c r="A75" i="1"/>
  <c r="J74" i="1"/>
  <c r="I74" i="1"/>
  <c r="H74" i="1"/>
  <c r="G74" i="1"/>
  <c r="F74" i="1"/>
  <c r="E74" i="1"/>
  <c r="D74" i="1"/>
  <c r="C74" i="1"/>
  <c r="B74" i="1"/>
  <c r="A74" i="1"/>
  <c r="J73" i="1"/>
  <c r="I73" i="1"/>
  <c r="H73" i="1"/>
  <c r="G73" i="1"/>
  <c r="F73" i="1"/>
  <c r="E73" i="1"/>
  <c r="D73" i="1"/>
  <c r="C73" i="1"/>
  <c r="B73" i="1"/>
  <c r="A73" i="1"/>
  <c r="J72" i="1"/>
  <c r="I72" i="1"/>
  <c r="H72" i="1"/>
  <c r="G72" i="1"/>
  <c r="F72" i="1"/>
  <c r="E72" i="1"/>
  <c r="D72" i="1"/>
  <c r="C72" i="1"/>
  <c r="B72" i="1"/>
  <c r="A72" i="1"/>
  <c r="J71" i="1"/>
  <c r="I71" i="1"/>
  <c r="H71" i="1"/>
  <c r="G71" i="1"/>
  <c r="F71" i="1"/>
  <c r="E71" i="1"/>
  <c r="D71" i="1"/>
  <c r="C71" i="1"/>
  <c r="B71" i="1"/>
  <c r="A71" i="1"/>
  <c r="J70" i="1"/>
  <c r="I70" i="1"/>
  <c r="H70" i="1"/>
  <c r="G70" i="1"/>
  <c r="F70" i="1"/>
  <c r="E70" i="1"/>
  <c r="D70" i="1"/>
  <c r="C70" i="1"/>
  <c r="B70" i="1"/>
  <c r="A70" i="1"/>
  <c r="J69" i="1"/>
  <c r="I69" i="1"/>
  <c r="H69" i="1"/>
  <c r="G69" i="1"/>
  <c r="F69" i="1"/>
  <c r="E69" i="1"/>
  <c r="D69" i="1"/>
  <c r="C69" i="1"/>
  <c r="B69" i="1"/>
  <c r="A69" i="1"/>
  <c r="J68" i="1"/>
  <c r="I68" i="1"/>
  <c r="H68" i="1"/>
  <c r="G68" i="1"/>
  <c r="F68" i="1"/>
  <c r="E68" i="1"/>
  <c r="D68" i="1"/>
  <c r="C68" i="1"/>
  <c r="B68" i="1"/>
  <c r="A68" i="1"/>
  <c r="J67" i="1"/>
  <c r="I67" i="1"/>
  <c r="H67" i="1"/>
  <c r="G67" i="1"/>
  <c r="F67" i="1"/>
  <c r="E67" i="1"/>
  <c r="D67" i="1"/>
  <c r="C67" i="1"/>
  <c r="B67" i="1"/>
  <c r="A67" i="1"/>
  <c r="J66" i="1"/>
  <c r="I66" i="1"/>
  <c r="H66" i="1"/>
  <c r="G66" i="1"/>
  <c r="F66" i="1"/>
  <c r="E66" i="1"/>
  <c r="D66" i="1"/>
  <c r="C66" i="1"/>
  <c r="B66" i="1"/>
  <c r="A66" i="1"/>
  <c r="J65" i="1"/>
  <c r="I65" i="1"/>
  <c r="G65" i="1"/>
  <c r="F65" i="1"/>
  <c r="E65" i="1"/>
  <c r="D65" i="1"/>
  <c r="B65" i="1"/>
  <c r="A65" i="1"/>
  <c r="J64" i="1"/>
  <c r="I64" i="1"/>
  <c r="G64" i="1"/>
  <c r="F64" i="1"/>
  <c r="E64" i="1"/>
  <c r="D64" i="1"/>
  <c r="B64" i="1"/>
  <c r="A64" i="1"/>
  <c r="J63" i="1"/>
  <c r="I63" i="1"/>
  <c r="G63" i="1"/>
  <c r="F63" i="1"/>
  <c r="E63" i="1"/>
  <c r="D63" i="1"/>
  <c r="B63" i="1"/>
  <c r="A63" i="1"/>
  <c r="J62" i="1"/>
  <c r="I62" i="1"/>
  <c r="G62" i="1"/>
  <c r="F62" i="1"/>
  <c r="E62" i="1"/>
  <c r="D62" i="1"/>
  <c r="B62" i="1"/>
  <c r="A62" i="1"/>
  <c r="J61" i="1"/>
  <c r="I61" i="1"/>
  <c r="G61" i="1"/>
  <c r="F61" i="1"/>
  <c r="E61" i="1"/>
  <c r="D61" i="1"/>
  <c r="B61" i="1"/>
  <c r="A61" i="1"/>
  <c r="J60" i="1"/>
  <c r="I60" i="1"/>
  <c r="G60" i="1"/>
  <c r="F60" i="1"/>
  <c r="E60" i="1"/>
  <c r="D60" i="1"/>
  <c r="B60" i="1"/>
  <c r="A60" i="1"/>
  <c r="J59" i="1"/>
  <c r="I59" i="1"/>
  <c r="G59" i="1"/>
  <c r="F59" i="1"/>
  <c r="E59" i="1"/>
  <c r="D59" i="1"/>
  <c r="B59" i="1"/>
  <c r="A59" i="1"/>
  <c r="J58" i="1"/>
  <c r="I58" i="1"/>
  <c r="G58" i="1"/>
  <c r="F58" i="1"/>
  <c r="E58" i="1"/>
  <c r="D58" i="1"/>
  <c r="B58" i="1"/>
  <c r="A58" i="1"/>
  <c r="J57" i="1"/>
  <c r="I57" i="1"/>
  <c r="G57" i="1"/>
  <c r="F57" i="1"/>
  <c r="H57" i="1" s="1"/>
  <c r="E57" i="1"/>
  <c r="D57" i="1"/>
  <c r="B57" i="1"/>
  <c r="A57" i="1"/>
  <c r="J56" i="1"/>
  <c r="I56" i="1"/>
  <c r="G56" i="1"/>
  <c r="F56" i="1"/>
  <c r="H56" i="1" s="1"/>
  <c r="E56" i="1"/>
  <c r="D56" i="1"/>
  <c r="B56" i="1"/>
  <c r="A56" i="1"/>
  <c r="J55" i="1"/>
  <c r="I55" i="1"/>
  <c r="G55" i="1"/>
  <c r="F55" i="1"/>
  <c r="E55" i="1"/>
  <c r="D55" i="1"/>
  <c r="B55" i="1"/>
  <c r="A55" i="1"/>
  <c r="J54" i="1"/>
  <c r="I54" i="1"/>
  <c r="G54" i="1"/>
  <c r="F54" i="1"/>
  <c r="H54" i="1" s="1"/>
  <c r="E54" i="1"/>
  <c r="D54" i="1"/>
  <c r="B54" i="1"/>
  <c r="A54" i="1"/>
  <c r="J53" i="1"/>
  <c r="I53" i="1"/>
  <c r="G53" i="1"/>
  <c r="F53" i="1"/>
  <c r="H53" i="1" s="1"/>
  <c r="E53" i="1"/>
  <c r="D53" i="1"/>
  <c r="B53" i="1"/>
  <c r="A53" i="1"/>
  <c r="J52" i="1"/>
  <c r="I52" i="1"/>
  <c r="G52" i="1"/>
  <c r="F52" i="1"/>
  <c r="E52" i="1"/>
  <c r="D52" i="1"/>
  <c r="B52" i="1"/>
  <c r="A52" i="1"/>
  <c r="J51" i="1"/>
  <c r="I51" i="1"/>
  <c r="G51" i="1"/>
  <c r="F51" i="1"/>
  <c r="H51" i="1" s="1"/>
  <c r="E51" i="1"/>
  <c r="D51" i="1"/>
  <c r="B51" i="1"/>
  <c r="A51" i="1"/>
  <c r="J50" i="1"/>
  <c r="I50" i="1"/>
  <c r="G50" i="1"/>
  <c r="F50" i="1"/>
  <c r="E50" i="1"/>
  <c r="D50" i="1"/>
  <c r="B50" i="1"/>
  <c r="A50" i="1"/>
  <c r="J49" i="1"/>
  <c r="I49" i="1"/>
  <c r="G49" i="1"/>
  <c r="F49" i="1"/>
  <c r="E49" i="1"/>
  <c r="D49" i="1"/>
  <c r="B49" i="1"/>
  <c r="A49" i="1"/>
  <c r="J48" i="1"/>
  <c r="I48" i="1"/>
  <c r="G48" i="1"/>
  <c r="F48" i="1"/>
  <c r="E48" i="1"/>
  <c r="D48" i="1"/>
  <c r="B48" i="1"/>
  <c r="A48" i="1"/>
  <c r="J47" i="1"/>
  <c r="I47" i="1"/>
  <c r="G47" i="1"/>
  <c r="F47" i="1"/>
  <c r="H47" i="1" s="1"/>
  <c r="E47" i="1"/>
  <c r="D47" i="1"/>
  <c r="B47" i="1"/>
  <c r="A47" i="1"/>
  <c r="J46" i="1"/>
  <c r="I46" i="1"/>
  <c r="G46" i="1"/>
  <c r="F46" i="1"/>
  <c r="H46" i="1" s="1"/>
  <c r="E46" i="1"/>
  <c r="D46" i="1"/>
  <c r="B46" i="1"/>
  <c r="A46" i="1"/>
  <c r="J45" i="1"/>
  <c r="I45" i="1"/>
  <c r="G45" i="1"/>
  <c r="F45" i="1"/>
  <c r="E45" i="1"/>
  <c r="D45" i="1"/>
  <c r="B45" i="1"/>
  <c r="A45" i="1"/>
  <c r="J44" i="1"/>
  <c r="I44" i="1"/>
  <c r="G44" i="1"/>
  <c r="F44" i="1"/>
  <c r="E44" i="1"/>
  <c r="D44" i="1"/>
  <c r="B44" i="1"/>
  <c r="A44" i="1"/>
  <c r="J43" i="1"/>
  <c r="I43" i="1"/>
  <c r="G43" i="1"/>
  <c r="F43" i="1"/>
  <c r="E43" i="1"/>
  <c r="D43" i="1"/>
  <c r="B43" i="1"/>
  <c r="A43" i="1"/>
  <c r="J42" i="1"/>
  <c r="I42" i="1"/>
  <c r="G42" i="1"/>
  <c r="F42" i="1"/>
  <c r="E42" i="1"/>
  <c r="D42" i="1"/>
  <c r="B42" i="1"/>
  <c r="A42" i="1"/>
  <c r="J41" i="1"/>
  <c r="I41" i="1"/>
  <c r="G41" i="1"/>
  <c r="F41" i="1"/>
  <c r="H41" i="1" s="1"/>
  <c r="E41" i="1"/>
  <c r="D41" i="1"/>
  <c r="B41" i="1"/>
  <c r="A41" i="1"/>
  <c r="J40" i="1"/>
  <c r="I40" i="1"/>
  <c r="G40" i="1"/>
  <c r="F40" i="1"/>
  <c r="H40" i="1" s="1"/>
  <c r="E40" i="1"/>
  <c r="D40" i="1"/>
  <c r="B40" i="1"/>
  <c r="A40" i="1"/>
  <c r="J39" i="1"/>
  <c r="I39" i="1"/>
  <c r="G39" i="1"/>
  <c r="F39" i="1"/>
  <c r="E39" i="1"/>
  <c r="D39" i="1"/>
  <c r="B39" i="1"/>
  <c r="A39" i="1"/>
  <c r="J38" i="1"/>
  <c r="I38" i="1"/>
  <c r="G38" i="1"/>
  <c r="F38" i="1"/>
  <c r="E38" i="1"/>
  <c r="D38" i="1"/>
  <c r="B38" i="1"/>
  <c r="A38" i="1"/>
  <c r="J37" i="1"/>
  <c r="I37" i="1"/>
  <c r="G37" i="1"/>
  <c r="F37" i="1"/>
  <c r="H37" i="1" s="1"/>
  <c r="E37" i="1"/>
  <c r="D37" i="1"/>
  <c r="B37" i="1"/>
  <c r="A37" i="1"/>
  <c r="J36" i="1"/>
  <c r="I36" i="1"/>
  <c r="G36" i="1"/>
  <c r="F36" i="1"/>
  <c r="E36" i="1"/>
  <c r="D36" i="1"/>
  <c r="B36" i="1"/>
  <c r="A36" i="1"/>
  <c r="J35" i="1"/>
  <c r="I35" i="1"/>
  <c r="G35" i="1"/>
  <c r="F35" i="1"/>
  <c r="H35" i="1" s="1"/>
  <c r="E35" i="1"/>
  <c r="D35" i="1"/>
  <c r="B35" i="1"/>
  <c r="A35" i="1"/>
  <c r="J34" i="1"/>
  <c r="I34" i="1"/>
  <c r="G34" i="1"/>
  <c r="F34" i="1"/>
  <c r="E34" i="1"/>
  <c r="D34" i="1"/>
  <c r="B34" i="1"/>
  <c r="A34" i="1"/>
  <c r="J33" i="1"/>
  <c r="I33" i="1"/>
  <c r="G33" i="1"/>
  <c r="F33" i="1"/>
  <c r="H33" i="1" s="1"/>
  <c r="E33" i="1"/>
  <c r="D33" i="1"/>
  <c r="B33" i="1"/>
  <c r="A33" i="1"/>
  <c r="J32" i="1"/>
  <c r="I32" i="1"/>
  <c r="G32" i="1"/>
  <c r="F32" i="1"/>
  <c r="H32" i="1" s="1"/>
  <c r="E32" i="1"/>
  <c r="D32" i="1"/>
  <c r="B32" i="1"/>
  <c r="A32" i="1"/>
  <c r="J31" i="1"/>
  <c r="I31" i="1"/>
  <c r="G31" i="1"/>
  <c r="F31" i="1"/>
  <c r="E31" i="1"/>
  <c r="D31" i="1"/>
  <c r="B31" i="1"/>
  <c r="A31" i="1"/>
  <c r="J30" i="1"/>
  <c r="I30" i="1"/>
  <c r="G30" i="1"/>
  <c r="F30" i="1"/>
  <c r="E30" i="1"/>
  <c r="D30" i="1"/>
  <c r="B30" i="1"/>
  <c r="A30" i="1"/>
  <c r="J29" i="1"/>
  <c r="I29" i="1"/>
  <c r="G29" i="1"/>
  <c r="F29" i="1"/>
  <c r="E29" i="1"/>
  <c r="D29" i="1"/>
  <c r="B29" i="1"/>
  <c r="A29" i="1"/>
  <c r="J28" i="1"/>
  <c r="I28" i="1"/>
  <c r="G28" i="1"/>
  <c r="F28" i="1"/>
  <c r="E28" i="1"/>
  <c r="D28" i="1"/>
  <c r="B28" i="1"/>
  <c r="A28" i="1"/>
  <c r="J27" i="1"/>
  <c r="I27" i="1"/>
  <c r="G27" i="1"/>
  <c r="F27" i="1"/>
  <c r="E27" i="1"/>
  <c r="D27" i="1"/>
  <c r="B27" i="1"/>
  <c r="A27" i="1"/>
  <c r="J26" i="1"/>
  <c r="I26" i="1"/>
  <c r="G26" i="1"/>
  <c r="F26" i="1"/>
  <c r="E26" i="1"/>
  <c r="D26" i="1"/>
  <c r="B26" i="1"/>
  <c r="A26" i="1"/>
  <c r="J25" i="1"/>
  <c r="I25" i="1"/>
  <c r="G25" i="1"/>
  <c r="F25" i="1"/>
  <c r="E25" i="1"/>
  <c r="D25" i="1"/>
  <c r="B25" i="1"/>
  <c r="A25" i="1"/>
  <c r="J24" i="1"/>
  <c r="I24" i="1"/>
  <c r="G24" i="1"/>
  <c r="F24" i="1"/>
  <c r="E24" i="1"/>
  <c r="D24" i="1"/>
  <c r="B24" i="1"/>
  <c r="A24" i="1"/>
  <c r="J23" i="1"/>
  <c r="I23" i="1"/>
  <c r="G23" i="1"/>
  <c r="F23" i="1"/>
  <c r="E23" i="1"/>
  <c r="D23" i="1"/>
  <c r="B23" i="1"/>
  <c r="A23" i="1"/>
  <c r="J22" i="1"/>
  <c r="I22" i="1"/>
  <c r="G22" i="1"/>
  <c r="F22" i="1"/>
  <c r="E22" i="1"/>
  <c r="D22" i="1"/>
  <c r="B22" i="1"/>
  <c r="A22" i="1"/>
  <c r="J21" i="1"/>
  <c r="I21" i="1"/>
  <c r="G21" i="1"/>
  <c r="F21" i="1"/>
  <c r="E21" i="1"/>
  <c r="D21" i="1"/>
  <c r="B21" i="1"/>
  <c r="C40" i="1" s="1"/>
  <c r="A21" i="1"/>
  <c r="B15" i="1"/>
  <c r="B12" i="1"/>
  <c r="H60" i="1" l="1"/>
  <c r="H64" i="1"/>
  <c r="C56" i="1"/>
  <c r="H55" i="1"/>
  <c r="C60" i="1"/>
  <c r="C64" i="1"/>
  <c r="H58" i="1"/>
  <c r="H59" i="1"/>
  <c r="H61" i="1"/>
  <c r="H62" i="1"/>
  <c r="H63" i="1"/>
  <c r="H65" i="1"/>
  <c r="C57" i="1"/>
  <c r="C61" i="1"/>
  <c r="C65" i="1"/>
  <c r="C58" i="1"/>
  <c r="C62" i="1"/>
  <c r="C59" i="1"/>
  <c r="C63" i="1"/>
  <c r="H43" i="1"/>
  <c r="H49" i="1"/>
  <c r="H21" i="1"/>
  <c r="H27" i="1"/>
  <c r="H31" i="1"/>
  <c r="H45" i="1"/>
  <c r="H39" i="1"/>
  <c r="C36" i="1"/>
  <c r="H22" i="1"/>
  <c r="H23" i="1"/>
  <c r="H24" i="1"/>
  <c r="H25" i="1"/>
  <c r="H29" i="1"/>
  <c r="H30" i="1"/>
  <c r="H34" i="1"/>
  <c r="H44" i="1"/>
  <c r="C28" i="1"/>
  <c r="C53" i="1"/>
  <c r="H26" i="1"/>
  <c r="H36" i="1"/>
  <c r="H48" i="1"/>
  <c r="H50" i="1"/>
  <c r="C51" i="1"/>
  <c r="H38" i="1"/>
  <c r="H52" i="1"/>
  <c r="C54" i="1"/>
  <c r="C48" i="1"/>
  <c r="H28" i="1"/>
  <c r="C32" i="1"/>
  <c r="C44" i="1"/>
  <c r="C55" i="1"/>
  <c r="C24" i="1"/>
  <c r="H42" i="1"/>
  <c r="C52" i="1"/>
  <c r="C21" i="1"/>
  <c r="C25" i="1"/>
  <c r="C29" i="1"/>
  <c r="C33" i="1"/>
  <c r="C37" i="1"/>
  <c r="C41" i="1"/>
  <c r="C45" i="1"/>
  <c r="C49" i="1"/>
  <c r="C22" i="1"/>
  <c r="C26" i="1"/>
  <c r="C30" i="1"/>
  <c r="C34" i="1"/>
  <c r="C38" i="1"/>
  <c r="C42" i="1"/>
  <c r="C46" i="1"/>
  <c r="C50" i="1"/>
  <c r="C23" i="1"/>
  <c r="C27" i="1"/>
  <c r="C31" i="1"/>
  <c r="C35" i="1"/>
  <c r="C39" i="1"/>
  <c r="C43" i="1"/>
  <c r="C47" i="1"/>
</calcChain>
</file>

<file path=xl/sharedStrings.xml><?xml version="1.0" encoding="utf-8"?>
<sst xmlns="http://schemas.openxmlformats.org/spreadsheetml/2006/main" count="25" uniqueCount="25">
  <si>
    <t>Calculadora: Pérdida dinero efecto abril</t>
  </si>
  <si>
    <t>Introduce tus datos en las celdas amarillas.</t>
  </si>
  <si>
    <t>DATOS DE ENTRADA</t>
  </si>
  <si>
    <t>Años para jubilarse</t>
  </si>
  <si>
    <t>Paga compensatoria en 2026, no consolidable (€)</t>
  </si>
  <si>
    <t>La paga se asume invertida desde 2026 en un fondo que replica la subida anual de sueldo, revalorizándose hasta la jubilación.</t>
  </si>
  <si>
    <t>RESULTADOS</t>
  </si>
  <si>
    <t>25% x Sueldo base x [(1+Subida)^Años - 1]  −  Paga compensatoria</t>
  </si>
  <si>
    <t>0,75% x Sueldo base x Años x (1+Subida)^(Años-1)  −  Paga x (1+Subida)^(Años-1). Válida cuando la rentabilidad del fondo iguala la subida salarial (caso pedido); cada pérdida anual se invierte de inmediato y se revaloriza hasta la jubilación.</t>
  </si>
  <si>
    <t>DETALLE AÑO A AÑO</t>
  </si>
  <si>
    <t>Muestra los resultados como si te jubilaras cada uno de esos años (hasta el valor introducido en "Años para jubilarse"). La tabla admite hasta 60 años. Las columnas E-J justifican cómo se calculan B, C y D: sueldo de A y B ese año, y cómo se revalorizan la paga compensatoria y lo dejado de ganar.</t>
  </si>
  <si>
    <t>Año (nº)</t>
  </si>
  <si>
    <t>Pérdida anual (€)</t>
  </si>
  <si>
    <t>Pérdida acumulada
sin invertir (€)</t>
  </si>
  <si>
    <t>Pérdida acumulada
si se invierte (€)</t>
  </si>
  <si>
    <t>Sueldo anual A (€)</t>
  </si>
  <si>
    <t>Sueldo B ene-mar,
3 meses (€)</t>
  </si>
  <si>
    <t>Sueldo B abr-dic,
9 meses (€)</t>
  </si>
  <si>
    <t>Sueldo anual B
total (€)</t>
  </si>
  <si>
    <t>Paga compensatoria
revalorizada (€)</t>
  </si>
  <si>
    <t>Pérdida acumulada
bruta si se invierte,
antes de paga (€)</t>
  </si>
  <si>
    <t>Dinero perdido desde hoy hasta la jubilación si se invierte cada año tanto la paga no consolidable como lo que se deja de ganar por el efecto arbil (€)</t>
  </si>
  <si>
    <t>Dinero perdido desde hoy hasta la jubilación en caso de no invertir nada (€)</t>
  </si>
  <si>
    <t>Sueldo anual base 2025 (€)</t>
  </si>
  <si>
    <t>Subida anual media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</si>
</sst>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€&quot;;\(#,##0.00&quot;) €&quot;;&quot;-€&quot;"/>
    <numFmt numFmtId="165" formatCode="0.0%"/>
    <numFmt numFmtId="166" formatCode="#,##0&quot; €&quot;;\(#,##0&quot;) €&quot;;&quot;-€&quot;"/>
    <numFmt numFmtId="167" formatCode="_-* #,##0.00&quot; €&quot;_-;\-* #,##0.00&quot; €&quot;_-;_-* \-??&quot; €&quot;_-;_-@_-"/>
  </numFmts>
  <fonts count="13" x14ac:knownFonts="1">
    <font>
      <sz val="11"/>
      <color theme="1"/>
      <name val="Calibri"/>
      <family val="2"/>
      <charset val="1"/>
    </font>
    <font>
      <b/>
      <sz val="14"/>
      <name val="Arial"/>
      <family val="2"/>
      <charset val="1"/>
    </font>
    <font>
      <i/>
      <sz val="10"/>
      <color rgb="FF555555"/>
      <name val="Arial"/>
      <family val="2"/>
      <charset val="1"/>
    </font>
    <font>
      <b/>
      <sz val="11"/>
      <color rgb="FFFFFFFF"/>
      <name val="Arial"/>
      <family val="2"/>
      <charset val="1"/>
    </font>
    <font>
      <sz val="10"/>
      <name val="Arial"/>
      <family val="2"/>
      <charset val="1"/>
    </font>
    <font>
      <b/>
      <sz val="11"/>
      <color rgb="FF0000FF"/>
      <name val="Arial"/>
      <family val="2"/>
      <charset val="1"/>
    </font>
    <font>
      <i/>
      <sz val="9"/>
      <color rgb="FF777777"/>
      <name val="Arial"/>
      <family val="2"/>
      <charset val="1"/>
    </font>
    <font>
      <b/>
      <sz val="11"/>
      <name val="Arial"/>
      <family val="2"/>
      <charset val="1"/>
    </font>
    <font>
      <b/>
      <sz val="13"/>
      <color rgb="FF1F4E78"/>
      <name val="Arial"/>
      <family val="2"/>
      <charset val="1"/>
    </font>
    <font>
      <b/>
      <sz val="13"/>
      <color rgb="FFFF0000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96969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66" fontId="8" fillId="4" borderId="1" xfId="0" applyNumberFormat="1" applyFont="1" applyFill="1" applyBorder="1" applyAlignment="1">
      <alignment horizontal="center" vertical="center"/>
    </xf>
    <xf numFmtId="166" fontId="9" fillId="5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7" fontId="4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/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77777"/>
      <rgbColor rgb="FF8EA9DB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zoomScaleNormal="100" workbookViewId="0">
      <selection activeCell="D15" sqref="D15"/>
    </sheetView>
  </sheetViews>
  <sheetFormatPr baseColWidth="10" defaultColWidth="18" defaultRowHeight="15" x14ac:dyDescent="0.25"/>
  <cols>
    <col min="1" max="1" width="43.5703125" style="5" customWidth="1"/>
    <col min="2" max="2" width="16.7109375" style="5" customWidth="1"/>
    <col min="3" max="3" width="19" style="5" customWidth="1"/>
    <col min="4" max="4" width="22" style="5" customWidth="1"/>
    <col min="5" max="16384" width="18" style="6"/>
  </cols>
  <sheetData>
    <row r="1" spans="1:5" ht="18" customHeight="1" x14ac:dyDescent="0.25">
      <c r="A1" s="4" t="s">
        <v>0</v>
      </c>
      <c r="B1" s="4"/>
      <c r="C1" s="4"/>
      <c r="D1" s="4"/>
    </row>
    <row r="2" spans="1:5" x14ac:dyDescent="0.25">
      <c r="A2" s="3" t="s">
        <v>1</v>
      </c>
      <c r="B2" s="3"/>
      <c r="C2" s="3"/>
      <c r="D2" s="3"/>
      <c r="E2" s="3"/>
    </row>
    <row r="4" spans="1:5" x14ac:dyDescent="0.25">
      <c r="A4" s="2" t="s">
        <v>2</v>
      </c>
      <c r="B4" s="2"/>
    </row>
    <row r="5" spans="1:5" x14ac:dyDescent="0.25">
      <c r="A5" s="7" t="s">
        <v>23</v>
      </c>
      <c r="B5" s="8">
        <v>60000</v>
      </c>
    </row>
    <row r="6" spans="1:5" x14ac:dyDescent="0.25">
      <c r="A6" s="7" t="s">
        <v>24</v>
      </c>
      <c r="B6" s="9">
        <v>0.03</v>
      </c>
    </row>
    <row r="7" spans="1:5" x14ac:dyDescent="0.25">
      <c r="A7" s="7" t="s">
        <v>3</v>
      </c>
      <c r="B7" s="10">
        <v>32</v>
      </c>
    </row>
    <row r="8" spans="1:5" x14ac:dyDescent="0.25">
      <c r="A8" s="7" t="s">
        <v>4</v>
      </c>
      <c r="B8" s="8">
        <v>2000</v>
      </c>
    </row>
    <row r="9" spans="1:5" x14ac:dyDescent="0.25">
      <c r="A9" s="1" t="s">
        <v>5</v>
      </c>
      <c r="B9" s="1"/>
      <c r="C9" s="1"/>
      <c r="D9" s="1"/>
      <c r="E9" s="1"/>
    </row>
    <row r="11" spans="1:5" x14ac:dyDescent="0.25">
      <c r="A11" s="2" t="s">
        <v>6</v>
      </c>
      <c r="B11" s="2"/>
    </row>
    <row r="12" spans="1:5" ht="30" x14ac:dyDescent="0.25">
      <c r="A12" s="22" t="s">
        <v>22</v>
      </c>
      <c r="B12" s="11">
        <f>0.25*B5*((1+B6)^B7-1)-B8</f>
        <v>21626.241335276638</v>
      </c>
    </row>
    <row r="13" spans="1:5" x14ac:dyDescent="0.25">
      <c r="A13" s="1" t="s">
        <v>7</v>
      </c>
      <c r="B13" s="1"/>
      <c r="C13" s="1"/>
      <c r="D13" s="1"/>
      <c r="E13" s="1"/>
    </row>
    <row r="15" spans="1:5" ht="60" x14ac:dyDescent="0.25">
      <c r="A15" s="22" t="s">
        <v>21</v>
      </c>
      <c r="B15" s="12">
        <f>0.0075*B5*B7*(1+B6)^(B7-1)-B8*(1+B6)^(B7-1)</f>
        <v>31000.996282034328</v>
      </c>
    </row>
    <row r="16" spans="1:5" x14ac:dyDescent="0.25">
      <c r="A16" s="1" t="s">
        <v>8</v>
      </c>
      <c r="B16" s="1"/>
      <c r="C16" s="1"/>
      <c r="D16" s="1"/>
      <c r="E16" s="1"/>
    </row>
    <row r="18" spans="1:10" x14ac:dyDescent="0.25">
      <c r="A18" s="2" t="s">
        <v>9</v>
      </c>
      <c r="B18" s="2"/>
      <c r="C18" s="2"/>
      <c r="D18" s="2"/>
    </row>
    <row r="19" spans="1:10" x14ac:dyDescent="0.25">
      <c r="A19" s="1" t="s">
        <v>10</v>
      </c>
      <c r="B19" s="1"/>
      <c r="C19" s="1"/>
      <c r="D19" s="1"/>
      <c r="E19" s="1"/>
    </row>
    <row r="20" spans="1:10" s="5" customFormat="1" ht="30" customHeight="1" x14ac:dyDescent="0.25">
      <c r="A20" s="13" t="s">
        <v>11</v>
      </c>
      <c r="B20" s="13" t="s">
        <v>12</v>
      </c>
      <c r="C20" s="13" t="s">
        <v>13</v>
      </c>
      <c r="D20" s="13" t="s">
        <v>14</v>
      </c>
      <c r="E20" s="14" t="s">
        <v>15</v>
      </c>
      <c r="F20" s="14" t="s">
        <v>16</v>
      </c>
      <c r="G20" s="14" t="s">
        <v>17</v>
      </c>
      <c r="H20" s="14" t="s">
        <v>18</v>
      </c>
      <c r="I20" s="14" t="s">
        <v>19</v>
      </c>
      <c r="J20" s="14" t="s">
        <v>20</v>
      </c>
    </row>
    <row r="21" spans="1:10" s="5" customFormat="1" x14ac:dyDescent="0.2">
      <c r="A21" s="18">
        <f>IF($B$7&gt;=1,1,"")</f>
        <v>1</v>
      </c>
      <c r="B21" s="19">
        <f>IF($B$7&gt;=1,0.0075*$B$5*(1+$B$6)^(1-1),"")</f>
        <v>450</v>
      </c>
      <c r="C21" s="20">
        <f>IF($B$7&gt;=1,SUM($B$21:B21)-$B$8,"")</f>
        <v>-1550</v>
      </c>
      <c r="D21" s="20">
        <f>IF($B$7&gt;=1,0.0075*$B$5*1*(1+$B$6)^(1-1)-$B$8*(1+$B$6)^(1-1),"")</f>
        <v>-1550</v>
      </c>
      <c r="E21" s="21">
        <f>IF($B$7&gt;=1,$B$5*(1+$B$6)^1,"")</f>
        <v>61800</v>
      </c>
      <c r="F21" s="21">
        <f>IF($B$7&gt;=1,(3/12)*$B$5*(1+$B$6)^(1-1),"")</f>
        <v>15000</v>
      </c>
      <c r="G21" s="21">
        <f>IF($B$7&gt;=1,(9/12)*$B$5*(1+$B$6)^1,"")</f>
        <v>46350</v>
      </c>
      <c r="H21" s="21">
        <f>IF($B$7&gt;=1,F21+G21,"")</f>
        <v>61350</v>
      </c>
      <c r="I21" s="21">
        <f>IF($B$7&gt;=1,$B$8*(1+$B$6)^(1-1),"")</f>
        <v>2000</v>
      </c>
      <c r="J21" s="21">
        <f>IF($B$7&gt;=1,0.0075*$B$5*1*(1+$B$6)^(1-1),"")</f>
        <v>450</v>
      </c>
    </row>
    <row r="22" spans="1:10" s="5" customFormat="1" x14ac:dyDescent="0.2">
      <c r="A22" s="18">
        <f>IF($B$7&gt;=2,2,"")</f>
        <v>2</v>
      </c>
      <c r="B22" s="19">
        <f>IF($B$7&gt;=2,0.0075*$B$5*(1+$B$6)^(2-1),"")</f>
        <v>463.5</v>
      </c>
      <c r="C22" s="20">
        <f>IF($B$7&gt;=2,SUM($B$21:B22)-$B$8,"")</f>
        <v>-1086.5</v>
      </c>
      <c r="D22" s="20">
        <f>IF($B$7&gt;=2,0.0075*$B$5*2*(1+$B$6)^(2-1)-$B$8*(1+$B$6)^(2-1),"")</f>
        <v>-1133</v>
      </c>
      <c r="E22" s="21">
        <f>IF($B$7&gt;=2,$B$5*(1+$B$6)^2,"")</f>
        <v>63654</v>
      </c>
      <c r="F22" s="21">
        <f>IF($B$7&gt;=2,(3/12)*$B$5*(1+$B$6)^(2-1),"")</f>
        <v>15450</v>
      </c>
      <c r="G22" s="21">
        <f>IF($B$7&gt;=2,(9/12)*$B$5*(1+$B$6)^2,"")</f>
        <v>47740.5</v>
      </c>
      <c r="H22" s="21">
        <f>IF($B$7&gt;=2,F22+G22,"")</f>
        <v>63190.5</v>
      </c>
      <c r="I22" s="21">
        <f>IF($B$7&gt;=2,$B$8*(1+$B$6)^(2-1),"")</f>
        <v>2060</v>
      </c>
      <c r="J22" s="21">
        <f>IF($B$7&gt;=2,0.0075*$B$5*2*(1+$B$6)^(2-1),"")</f>
        <v>927</v>
      </c>
    </row>
    <row r="23" spans="1:10" s="5" customFormat="1" x14ac:dyDescent="0.2">
      <c r="A23" s="18">
        <f>IF($B$7&gt;=3,3,"")</f>
        <v>3</v>
      </c>
      <c r="B23" s="19">
        <f>IF($B$7&gt;=3,0.0075*$B$5*(1+$B$6)^(3-1),"")</f>
        <v>477.40499999999997</v>
      </c>
      <c r="C23" s="20">
        <f>IF($B$7&gt;=3,SUM($B$21:B23)-$B$8,"")</f>
        <v>-609.09500000000003</v>
      </c>
      <c r="D23" s="20">
        <f>IF($B$7&gt;=3,0.0075*$B$5*3*(1+$B$6)^(3-1)-$B$8*(1+$B$6)^(3-1),"")</f>
        <v>-689.58499999999981</v>
      </c>
      <c r="E23" s="21">
        <f>IF($B$7&gt;=3,$B$5*(1+$B$6)^3,"")</f>
        <v>65563.62</v>
      </c>
      <c r="F23" s="21">
        <f>IF($B$7&gt;=3,(3/12)*$B$5*(1+$B$6)^(3-1),"")</f>
        <v>15913.5</v>
      </c>
      <c r="G23" s="21">
        <f>IF($B$7&gt;=3,(9/12)*$B$5*(1+$B$6)^3,"")</f>
        <v>49172.715000000004</v>
      </c>
      <c r="H23" s="21">
        <f>IF($B$7&gt;=3,F23+G23,"")</f>
        <v>65086.215000000004</v>
      </c>
      <c r="I23" s="21">
        <f>IF($B$7&gt;=3,$B$8*(1+$B$6)^(3-1),"")</f>
        <v>2121.7999999999997</v>
      </c>
      <c r="J23" s="21">
        <f>IF($B$7&gt;=3,0.0075*$B$5*3*(1+$B$6)^(3-1),"")</f>
        <v>1432.2149999999999</v>
      </c>
    </row>
    <row r="24" spans="1:10" s="5" customFormat="1" x14ac:dyDescent="0.2">
      <c r="A24" s="18">
        <f>IF($B$7&gt;=4,4,"")</f>
        <v>4</v>
      </c>
      <c r="B24" s="19">
        <f>IF($B$7&gt;=4,0.0075*$B$5*(1+$B$6)^(4-1),"")</f>
        <v>491.72714999999999</v>
      </c>
      <c r="C24" s="20">
        <f>IF($B$7&gt;=4,SUM($B$21:B24)-$B$8,"")</f>
        <v>-117.36785000000009</v>
      </c>
      <c r="D24" s="20">
        <f>IF($B$7&gt;=4,0.0075*$B$5*4*(1+$B$6)^(4-1)-$B$8*(1+$B$6)^(4-1),"")</f>
        <v>-218.5454000000002</v>
      </c>
      <c r="E24" s="21">
        <f>IF($B$7&gt;=4,$B$5*(1+$B$6)^4,"")</f>
        <v>67530.528599999991</v>
      </c>
      <c r="F24" s="21">
        <f>IF($B$7&gt;=4,(3/12)*$B$5*(1+$B$6)^(4-1),"")</f>
        <v>16390.904999999999</v>
      </c>
      <c r="G24" s="21">
        <f>IF($B$7&gt;=4,(9/12)*$B$5*(1+$B$6)^4,"")</f>
        <v>50647.896449999993</v>
      </c>
      <c r="H24" s="21">
        <f>IF($B$7&gt;=4,F24+G24,"")</f>
        <v>67038.801449999999</v>
      </c>
      <c r="I24" s="21">
        <f>IF($B$7&gt;=4,$B$8*(1+$B$6)^(4-1),"")</f>
        <v>2185.4540000000002</v>
      </c>
      <c r="J24" s="21">
        <f>IF($B$7&gt;=4,0.0075*$B$5*4*(1+$B$6)^(4-1),"")</f>
        <v>1966.9086</v>
      </c>
    </row>
    <row r="25" spans="1:10" s="5" customFormat="1" x14ac:dyDescent="0.2">
      <c r="A25" s="18">
        <f>IF($B$7&gt;=5,5,"")</f>
        <v>5</v>
      </c>
      <c r="B25" s="19">
        <f>IF($B$7&gt;=5,0.0075*$B$5*(1+$B$6)^(5-1),"")</f>
        <v>506.47896449999996</v>
      </c>
      <c r="C25" s="20">
        <f>IF($B$7&gt;=5,SUM($B$21:B25)-$B$8,"")</f>
        <v>389.11111449999999</v>
      </c>
      <c r="D25" s="20">
        <f>IF($B$7&gt;=5,0.0075*$B$5*5*(1+$B$6)^(5-1)-$B$8*(1+$B$6)^(5-1),"")</f>
        <v>281.37720250000029</v>
      </c>
      <c r="E25" s="21">
        <f>IF($B$7&gt;=5,$B$5*(1+$B$6)^5,"")</f>
        <v>69556.444457999984</v>
      </c>
      <c r="F25" s="21">
        <f>IF($B$7&gt;=5,(3/12)*$B$5*(1+$B$6)^(5-1),"")</f>
        <v>16882.632149999998</v>
      </c>
      <c r="G25" s="21">
        <f>IF($B$7&gt;=5,(9/12)*$B$5*(1+$B$6)^5,"")</f>
        <v>52167.333343499995</v>
      </c>
      <c r="H25" s="21">
        <f>IF($B$7&gt;=5,F25+G25,"")</f>
        <v>69049.9654935</v>
      </c>
      <c r="I25" s="21">
        <f>IF($B$7&gt;=5,$B$8*(1+$B$6)^(5-1),"")</f>
        <v>2251.0176199999996</v>
      </c>
      <c r="J25" s="21">
        <f>IF($B$7&gt;=5,0.0075*$B$5*5*(1+$B$6)^(5-1),"")</f>
        <v>2532.3948224999999</v>
      </c>
    </row>
    <row r="26" spans="1:10" s="5" customFormat="1" x14ac:dyDescent="0.2">
      <c r="A26" s="18">
        <f>IF($B$7&gt;=6,6,"")</f>
        <v>6</v>
      </c>
      <c r="B26" s="19">
        <f>IF($B$7&gt;=6,0.0075*$B$5*(1+$B$6)^(6-1),"")</f>
        <v>521.6733334349999</v>
      </c>
      <c r="C26" s="20">
        <f>IF($B$7&gt;=6,SUM($B$21:B26)-$B$8,"")</f>
        <v>910.78444793499966</v>
      </c>
      <c r="D26" s="20">
        <f>IF($B$7&gt;=6,0.0075*$B$5*6*(1+$B$6)^(6-1)-$B$8*(1+$B$6)^(6-1),"")</f>
        <v>811.49185200999955</v>
      </c>
      <c r="E26" s="21">
        <f>IF($B$7&gt;=6,$B$5*(1+$B$6)^6,"")</f>
        <v>71643.137791739995</v>
      </c>
      <c r="F26" s="21">
        <f>IF($B$7&gt;=6,(3/12)*$B$5*(1+$B$6)^(6-1),"")</f>
        <v>17389.111114499996</v>
      </c>
      <c r="G26" s="21">
        <f>IF($B$7&gt;=6,(9/12)*$B$5*(1+$B$6)^6,"")</f>
        <v>53732.353343804993</v>
      </c>
      <c r="H26" s="21">
        <f>IF($B$7&gt;=6,F26+G26,"")</f>
        <v>71121.464458304981</v>
      </c>
      <c r="I26" s="21">
        <f>IF($B$7&gt;=6,$B$8*(1+$B$6)^(6-1),"")</f>
        <v>2318.5481485999999</v>
      </c>
      <c r="J26" s="21">
        <f>IF($B$7&gt;=6,0.0075*$B$5*6*(1+$B$6)^(6-1),"")</f>
        <v>3130.0400006099994</v>
      </c>
    </row>
    <row r="27" spans="1:10" s="5" customFormat="1" x14ac:dyDescent="0.2">
      <c r="A27" s="18">
        <f>IF($B$7&gt;=7,7,"")</f>
        <v>7</v>
      </c>
      <c r="B27" s="19">
        <f>IF($B$7&gt;=7,0.0075*$B$5*(1+$B$6)^(7-1),"")</f>
        <v>537.32353343804994</v>
      </c>
      <c r="C27" s="20">
        <f>IF($B$7&gt;=7,SUM($B$21:B27)-$B$8,"")</f>
        <v>1448.1079813730494</v>
      </c>
      <c r="D27" s="20">
        <f>IF($B$7&gt;=7,0.0075*$B$5*7*(1+$B$6)^(7-1)-$B$8*(1+$B$6)^(7-1),"")</f>
        <v>1373.1601410083499</v>
      </c>
      <c r="E27" s="21">
        <f>IF($B$7&gt;=7,$B$5*(1+$B$6)^7,"")</f>
        <v>73792.431925492201</v>
      </c>
      <c r="F27" s="21">
        <f>IF($B$7&gt;=7,(3/12)*$B$5*(1+$B$6)^(7-1),"")</f>
        <v>17910.784447934999</v>
      </c>
      <c r="G27" s="21">
        <f>IF($B$7&gt;=7,(9/12)*$B$5*(1+$B$6)^7,"")</f>
        <v>55344.323944119147</v>
      </c>
      <c r="H27" s="21">
        <f>IF($B$7&gt;=7,F27+G27,"")</f>
        <v>73255.108392054142</v>
      </c>
      <c r="I27" s="21">
        <f>IF($B$7&gt;=7,$B$8*(1+$B$6)^(7-1),"")</f>
        <v>2388.1045930579999</v>
      </c>
      <c r="J27" s="21">
        <f>IF($B$7&gt;=7,0.0075*$B$5*7*(1+$B$6)^(7-1),"")</f>
        <v>3761.2647340663498</v>
      </c>
    </row>
    <row r="28" spans="1:10" s="5" customFormat="1" x14ac:dyDescent="0.2">
      <c r="A28" s="18">
        <f>IF($B$7&gt;=8,8,"")</f>
        <v>8</v>
      </c>
      <c r="B28" s="19">
        <f>IF($B$7&gt;=8,0.0075*$B$5*(1+$B$6)^(8-1),"")</f>
        <v>553.44323944119151</v>
      </c>
      <c r="C28" s="20">
        <f>IF($B$7&gt;=8,SUM($B$21:B28)-$B$8,"")</f>
        <v>2001.5512208142409</v>
      </c>
      <c r="D28" s="20">
        <f>IF($B$7&gt;=8,0.0075*$B$5*8*(1+$B$6)^(8-1)-$B$8*(1+$B$6)^(8-1),"")</f>
        <v>1967.798184679792</v>
      </c>
      <c r="E28" s="21">
        <f>IF($B$7&gt;=8,$B$5*(1+$B$6)^8,"")</f>
        <v>76006.204883256956</v>
      </c>
      <c r="F28" s="21">
        <f>IF($B$7&gt;=8,(3/12)*$B$5*(1+$B$6)^(8-1),"")</f>
        <v>18448.10798137305</v>
      </c>
      <c r="G28" s="21">
        <f>IF($B$7&gt;=8,(9/12)*$B$5*(1+$B$6)^8,"")</f>
        <v>57004.653662442717</v>
      </c>
      <c r="H28" s="21">
        <f>IF($B$7&gt;=8,F28+G28,"")</f>
        <v>75452.761643815771</v>
      </c>
      <c r="I28" s="21">
        <f>IF($B$7&gt;=8,$B$8*(1+$B$6)^(8-1),"")</f>
        <v>2459.74773084974</v>
      </c>
      <c r="J28" s="21">
        <f>IF($B$7&gt;=8,0.0075*$B$5*8*(1+$B$6)^(8-1),"")</f>
        <v>4427.5459155295321</v>
      </c>
    </row>
    <row r="29" spans="1:10" s="5" customFormat="1" x14ac:dyDescent="0.2">
      <c r="A29" s="18">
        <f>IF($B$7&gt;=9,9,"")</f>
        <v>9</v>
      </c>
      <c r="B29" s="19">
        <f>IF($B$7&gt;=9,0.0075*$B$5*(1+$B$6)^(9-1),"")</f>
        <v>570.04653662442718</v>
      </c>
      <c r="C29" s="20">
        <f>IF($B$7&gt;=9,SUM($B$21:B29)-$B$8,"")</f>
        <v>2571.5977574386679</v>
      </c>
      <c r="D29" s="20">
        <f>IF($B$7&gt;=9,0.0075*$B$5*9*(1+$B$6)^(9-1)-$B$8*(1+$B$6)^(9-1),"")</f>
        <v>2596.8786668446128</v>
      </c>
      <c r="E29" s="21">
        <f>IF($B$7&gt;=9,$B$5*(1+$B$6)^9,"")</f>
        <v>78286.391029754668</v>
      </c>
      <c r="F29" s="21">
        <f>IF($B$7&gt;=9,(3/12)*$B$5*(1+$B$6)^(9-1),"")</f>
        <v>19001.551220814239</v>
      </c>
      <c r="G29" s="21">
        <f>IF($B$7&gt;=9,(9/12)*$B$5*(1+$B$6)^9,"")</f>
        <v>58714.793272315997</v>
      </c>
      <c r="H29" s="21">
        <f>IF($B$7&gt;=9,F29+G29,"")</f>
        <v>77716.344493130237</v>
      </c>
      <c r="I29" s="21">
        <f>IF($B$7&gt;=9,$B$8*(1+$B$6)^(9-1),"")</f>
        <v>2533.5401627752317</v>
      </c>
      <c r="J29" s="21">
        <f>IF($B$7&gt;=9,0.0075*$B$5*9*(1+$B$6)^(9-1),"")</f>
        <v>5130.4188296198445</v>
      </c>
    </row>
    <row r="30" spans="1:10" s="5" customFormat="1" x14ac:dyDescent="0.2">
      <c r="A30" s="18">
        <f>IF($B$7&gt;=10,10,"")</f>
        <v>10</v>
      </c>
      <c r="B30" s="19">
        <f>IF($B$7&gt;=10,0.0075*$B$5*(1+$B$6)^(10-1),"")</f>
        <v>587.14793272316001</v>
      </c>
      <c r="C30" s="20">
        <f>IF($B$7&gt;=10,SUM($B$21:B30)-$B$8,"")</f>
        <v>3158.745690161828</v>
      </c>
      <c r="D30" s="20">
        <f>IF($B$7&gt;=10,0.0075*$B$5*10*(1+$B$6)^(10-1)-$B$8*(1+$B$6)^(10-1),"")</f>
        <v>3261.932959573111</v>
      </c>
      <c r="E30" s="21">
        <f>IF($B$7&gt;=10,$B$5*(1+$B$6)^10,"")</f>
        <v>80634.982760647312</v>
      </c>
      <c r="F30" s="21">
        <f>IF($B$7&gt;=10,(3/12)*$B$5*(1+$B$6)^(10-1),"")</f>
        <v>19571.597757438667</v>
      </c>
      <c r="G30" s="21">
        <f>IF($B$7&gt;=10,(9/12)*$B$5*(1+$B$6)^10,"")</f>
        <v>60476.237070485477</v>
      </c>
      <c r="H30" s="21">
        <f>IF($B$7&gt;=10,F30+G30,"")</f>
        <v>80047.834827924147</v>
      </c>
      <c r="I30" s="21">
        <f>IF($B$7&gt;=10,$B$8*(1+$B$6)^(10-1),"")</f>
        <v>2609.5463676584891</v>
      </c>
      <c r="J30" s="21">
        <f>IF($B$7&gt;=10,0.0075*$B$5*10*(1+$B$6)^(10-1),"")</f>
        <v>5871.4793272316001</v>
      </c>
    </row>
    <row r="31" spans="1:10" s="5" customFormat="1" x14ac:dyDescent="0.2">
      <c r="A31" s="18">
        <f>IF($B$7&gt;=11,11,"")</f>
        <v>11</v>
      </c>
      <c r="B31" s="19">
        <f>IF($B$7&gt;=11,0.0075*$B$5*(1+$B$6)^(11-1),"")</f>
        <v>604.76237070485479</v>
      </c>
      <c r="C31" s="20">
        <f>IF($B$7&gt;=11,SUM($B$21:B31)-$B$8,"")</f>
        <v>3763.5080608666831</v>
      </c>
      <c r="D31" s="20">
        <f>IF($B$7&gt;=11,0.0075*$B$5*11*(1+$B$6)^(11-1)-$B$8*(1+$B$6)^(11-1),"")</f>
        <v>3964.553319065159</v>
      </c>
      <c r="E31" s="21">
        <f>IF($B$7&gt;=11,$B$5*(1+$B$6)^11,"")</f>
        <v>83054.032243466732</v>
      </c>
      <c r="F31" s="21">
        <f>IF($B$7&gt;=11,(3/12)*$B$5*(1+$B$6)^(11-1),"")</f>
        <v>20158.745690161828</v>
      </c>
      <c r="G31" s="21">
        <f>IF($B$7&gt;=11,(9/12)*$B$5*(1+$B$6)^11,"")</f>
        <v>62290.524182600049</v>
      </c>
      <c r="H31" s="21">
        <f>IF($B$7&gt;=11,F31+G31,"")</f>
        <v>82449.269872761884</v>
      </c>
      <c r="I31" s="21">
        <f>IF($B$7&gt;=11,$B$8*(1+$B$6)^(11-1),"")</f>
        <v>2687.8327586882438</v>
      </c>
      <c r="J31" s="21">
        <f>IF($B$7&gt;=11,0.0075*$B$5*11*(1+$B$6)^(11-1),"")</f>
        <v>6652.3860777534028</v>
      </c>
    </row>
    <row r="32" spans="1:10" s="5" customFormat="1" x14ac:dyDescent="0.2">
      <c r="A32" s="18">
        <f>IF($B$7&gt;=12,12,"")</f>
        <v>12</v>
      </c>
      <c r="B32" s="19">
        <f>IF($B$7&gt;=12,0.0075*$B$5*(1+$B$6)^(12-1),"")</f>
        <v>622.90524182600052</v>
      </c>
      <c r="C32" s="20">
        <f>IF($B$7&gt;=12,SUM($B$21:B32)-$B$8,"")</f>
        <v>4386.4133026926838</v>
      </c>
      <c r="D32" s="20">
        <f>IF($B$7&gt;=12,0.0075*$B$5*12*(1+$B$6)^(12-1)-$B$8*(1+$B$6)^(12-1),"")</f>
        <v>4706.3951604631147</v>
      </c>
      <c r="E32" s="21">
        <f>IF($B$7&gt;=12,$B$5*(1+$B$6)^12,"")</f>
        <v>85545.653210770717</v>
      </c>
      <c r="F32" s="21">
        <f>IF($B$7&gt;=12,(3/12)*$B$5*(1+$B$6)^(12-1),"")</f>
        <v>20763.508060866683</v>
      </c>
      <c r="G32" s="21">
        <f>IF($B$7&gt;=12,(9/12)*$B$5*(1+$B$6)^12,"")</f>
        <v>64159.239908078038</v>
      </c>
      <c r="H32" s="21">
        <f>IF($B$7&gt;=12,F32+G32,"")</f>
        <v>84922.747968944721</v>
      </c>
      <c r="I32" s="21">
        <f>IF($B$7&gt;=12,$B$8*(1+$B$6)^(12-1),"")</f>
        <v>2768.467741448891</v>
      </c>
      <c r="J32" s="21">
        <f>IF($B$7&gt;=12,0.0075*$B$5*12*(1+$B$6)^(12-1),"")</f>
        <v>7474.8629019120053</v>
      </c>
    </row>
    <row r="33" spans="1:10" s="5" customFormat="1" x14ac:dyDescent="0.2">
      <c r="A33" s="18">
        <f>IF($B$7&gt;=13,13,"")</f>
        <v>13</v>
      </c>
      <c r="B33" s="19">
        <f>IF($B$7&gt;=13,0.0075*$B$5*(1+$B$6)^(13-1),"")</f>
        <v>641.59239908078041</v>
      </c>
      <c r="C33" s="20">
        <f>IF($B$7&gt;=13,SUM($B$21:B33)-$B$8,"")</f>
        <v>5028.0057017734644</v>
      </c>
      <c r="D33" s="20">
        <f>IF($B$7&gt;=13,0.0075*$B$5*13*(1+$B$6)^(13-1)-$B$8*(1+$B$6)^(13-1),"")</f>
        <v>5489.1794143577881</v>
      </c>
      <c r="E33" s="21">
        <f>IF($B$7&gt;=13,$B$5*(1+$B$6)^13,"")</f>
        <v>88112.022807093832</v>
      </c>
      <c r="F33" s="21">
        <f>IF($B$7&gt;=13,(3/12)*$B$5*(1+$B$6)^(13-1),"")</f>
        <v>21386.413302692679</v>
      </c>
      <c r="G33" s="21">
        <f>IF($B$7&gt;=13,(9/12)*$B$5*(1+$B$6)^13,"")</f>
        <v>66084.017105320381</v>
      </c>
      <c r="H33" s="21">
        <f>IF($B$7&gt;=13,F33+G33,"")</f>
        <v>87470.430408013053</v>
      </c>
      <c r="I33" s="21">
        <f>IF($B$7&gt;=13,$B$8*(1+$B$6)^(13-1),"")</f>
        <v>2851.5217736923573</v>
      </c>
      <c r="J33" s="21">
        <f>IF($B$7&gt;=13,0.0075*$B$5*13*(1+$B$6)^(13-1),"")</f>
        <v>8340.701188050145</v>
      </c>
    </row>
    <row r="34" spans="1:10" s="5" customFormat="1" x14ac:dyDescent="0.2">
      <c r="A34" s="18">
        <f>IF($B$7&gt;=14,14,"")</f>
        <v>14</v>
      </c>
      <c r="B34" s="19">
        <f>IF($B$7&gt;=14,0.0075*$B$5*(1+$B$6)^(14-1),"")</f>
        <v>660.84017105320379</v>
      </c>
      <c r="C34" s="20">
        <f>IF($B$7&gt;=14,SUM($B$21:B34)-$B$8,"")</f>
        <v>5688.8458728266678</v>
      </c>
      <c r="D34" s="20">
        <f>IF($B$7&gt;=14,0.0075*$B$5*14*(1+$B$6)^(14-1)-$B$8*(1+$B$6)^(14-1),"")</f>
        <v>6314.6949678417241</v>
      </c>
      <c r="E34" s="21">
        <f>IF($B$7&gt;=14,$B$5*(1+$B$6)^14,"")</f>
        <v>90755.383491306668</v>
      </c>
      <c r="F34" s="21">
        <f>IF($B$7&gt;=14,(3/12)*$B$5*(1+$B$6)^(14-1),"")</f>
        <v>22028.005701773458</v>
      </c>
      <c r="G34" s="21">
        <f>IF($B$7&gt;=14,(9/12)*$B$5*(1+$B$6)^14,"")</f>
        <v>68066.537618479997</v>
      </c>
      <c r="H34" s="21">
        <f>IF($B$7&gt;=14,F34+G34,"")</f>
        <v>90094.543320253462</v>
      </c>
      <c r="I34" s="21">
        <f>IF($B$7&gt;=14,$B$8*(1+$B$6)^(14-1),"")</f>
        <v>2937.0674269031279</v>
      </c>
      <c r="J34" s="21">
        <f>IF($B$7&gt;=14,0.0075*$B$5*14*(1+$B$6)^(14-1),"")</f>
        <v>9251.7623947448519</v>
      </c>
    </row>
    <row r="35" spans="1:10" s="5" customFormat="1" x14ac:dyDescent="0.2">
      <c r="A35" s="18">
        <f>IF($B$7&gt;=15,15,"")</f>
        <v>15</v>
      </c>
      <c r="B35" s="19">
        <f>IF($B$7&gt;=15,0.0075*$B$5*(1+$B$6)^(15-1),"")</f>
        <v>680.66537618479992</v>
      </c>
      <c r="C35" s="20">
        <f>IF($B$7&gt;=15,SUM($B$21:B35)-$B$8,"")</f>
        <v>6369.511249011468</v>
      </c>
      <c r="D35" s="20">
        <f>IF($B$7&gt;=15,0.0075*$B$5*15*(1+$B$6)^(15-1)-$B$8*(1+$B$6)^(15-1),"")</f>
        <v>7184.8011930617777</v>
      </c>
      <c r="E35" s="21">
        <f>IF($B$7&gt;=15,$B$5*(1+$B$6)^15,"")</f>
        <v>93478.044996045865</v>
      </c>
      <c r="F35" s="21">
        <f>IF($B$7&gt;=15,(3/12)*$B$5*(1+$B$6)^(15-1),"")</f>
        <v>22688.845872826667</v>
      </c>
      <c r="G35" s="21">
        <f>IF($B$7&gt;=15,(9/12)*$B$5*(1+$B$6)^15,"")</f>
        <v>70108.533747034395</v>
      </c>
      <c r="H35" s="21">
        <f>IF($B$7&gt;=15,F35+G35,"")</f>
        <v>92797.379619861065</v>
      </c>
      <c r="I35" s="21">
        <f>IF($B$7&gt;=15,$B$8*(1+$B$6)^(15-1),"")</f>
        <v>3025.1794497102219</v>
      </c>
      <c r="J35" s="21">
        <f>IF($B$7&gt;=15,0.0075*$B$5*15*(1+$B$6)^(15-1),"")</f>
        <v>10209.980642772</v>
      </c>
    </row>
    <row r="36" spans="1:10" s="5" customFormat="1" x14ac:dyDescent="0.2">
      <c r="A36" s="18">
        <f>IF($B$7&gt;=16,16,"")</f>
        <v>16</v>
      </c>
      <c r="B36" s="19">
        <f>IF($B$7&gt;=16,0.0075*$B$5*(1+$B$6)^(16-1),"")</f>
        <v>701.08533747034403</v>
      </c>
      <c r="C36" s="20">
        <f>IF($B$7&gt;=16,SUM($B$21:B36)-$B$8,"")</f>
        <v>7070.5965864818118</v>
      </c>
      <c r="D36" s="20">
        <f>IF($B$7&gt;=16,0.0075*$B$5*16*(1+$B$6)^(16-1)-$B$8*(1+$B$6)^(16-1),"")</f>
        <v>8101.4305663239757</v>
      </c>
      <c r="E36" s="21">
        <f>IF($B$7&gt;=16,$B$5*(1+$B$6)^16,"")</f>
        <v>96282.386345927225</v>
      </c>
      <c r="F36" s="21">
        <f>IF($B$7&gt;=16,(3/12)*$B$5*(1+$B$6)^(16-1),"")</f>
        <v>23369.511249011466</v>
      </c>
      <c r="G36" s="21">
        <f>IF($B$7&gt;=16,(9/12)*$B$5*(1+$B$6)^16,"")</f>
        <v>72211.789759445412</v>
      </c>
      <c r="H36" s="21">
        <f>IF($B$7&gt;=16,F36+G36,"")</f>
        <v>95581.301008456881</v>
      </c>
      <c r="I36" s="21">
        <f>IF($B$7&gt;=16,$B$8*(1+$B$6)^(16-1),"")</f>
        <v>3115.9348332015288</v>
      </c>
      <c r="J36" s="21">
        <f>IF($B$7&gt;=16,0.0075*$B$5*16*(1+$B$6)^(16-1),"")</f>
        <v>11217.365399525504</v>
      </c>
    </row>
    <row r="37" spans="1:10" s="5" customFormat="1" x14ac:dyDescent="0.2">
      <c r="A37" s="18">
        <f>IF($B$7&gt;=17,17,"")</f>
        <v>17</v>
      </c>
      <c r="B37" s="19">
        <f>IF($B$7&gt;=17,0.0075*$B$5*(1+$B$6)^(17-1),"")</f>
        <v>722.11789759445423</v>
      </c>
      <c r="C37" s="20">
        <f>IF($B$7&gt;=17,SUM($B$21:B37)-$B$8,"")</f>
        <v>7792.7144840762667</v>
      </c>
      <c r="D37" s="20">
        <f>IF($B$7&gt;=17,0.0075*$B$5*17*(1+$B$6)^(17-1)-$B$8*(1+$B$6)^(17-1),"")</f>
        <v>9066.5913809081467</v>
      </c>
      <c r="E37" s="21">
        <f>IF($B$7&gt;=17,$B$5*(1+$B$6)^17,"")</f>
        <v>99170.857936305038</v>
      </c>
      <c r="F37" s="21">
        <f>IF($B$7&gt;=17,(3/12)*$B$5*(1+$B$6)^(17-1),"")</f>
        <v>24070.596586481806</v>
      </c>
      <c r="G37" s="21">
        <f>IF($B$7&gt;=17,(9/12)*$B$5*(1+$B$6)^17,"")</f>
        <v>74378.143452228775</v>
      </c>
      <c r="H37" s="21">
        <f>IF($B$7&gt;=17,F37+G37,"")</f>
        <v>98448.740038710588</v>
      </c>
      <c r="I37" s="21">
        <f>IF($B$7&gt;=17,$B$8*(1+$B$6)^(17-1),"")</f>
        <v>3209.4128781975742</v>
      </c>
      <c r="J37" s="21">
        <f>IF($B$7&gt;=17,0.0075*$B$5*17*(1+$B$6)^(17-1),"")</f>
        <v>12276.004259105721</v>
      </c>
    </row>
    <row r="38" spans="1:10" s="5" customFormat="1" x14ac:dyDescent="0.2">
      <c r="A38" s="18">
        <f>IF($B$7&gt;=18,18,"")</f>
        <v>18</v>
      </c>
      <c r="B38" s="19">
        <f>IF($B$7&gt;=18,0.0075*$B$5*(1+$B$6)^(18-1),"")</f>
        <v>743.78143452228778</v>
      </c>
      <c r="C38" s="20">
        <f>IF($B$7&gt;=18,SUM($B$21:B38)-$B$8,"")</f>
        <v>8536.4959185985535</v>
      </c>
      <c r="D38" s="20">
        <f>IF($B$7&gt;=18,0.0075*$B$5*18*(1+$B$6)^(18-1)-$B$8*(1+$B$6)^(18-1),"")</f>
        <v>10082.370556857679</v>
      </c>
      <c r="E38" s="21">
        <f>IF($B$7&gt;=18,$B$5*(1+$B$6)^18,"")</f>
        <v>102145.9836743942</v>
      </c>
      <c r="F38" s="21">
        <f>IF($B$7&gt;=18,(3/12)*$B$5*(1+$B$6)^(18-1),"")</f>
        <v>24792.714484076259</v>
      </c>
      <c r="G38" s="21">
        <f>IF($B$7&gt;=18,(9/12)*$B$5*(1+$B$6)^18,"")</f>
        <v>76609.48775579565</v>
      </c>
      <c r="H38" s="21">
        <f>IF($B$7&gt;=18,F38+G38,"")</f>
        <v>101402.20223987191</v>
      </c>
      <c r="I38" s="21">
        <f>IF($B$7&gt;=18,$B$8*(1+$B$6)^(18-1),"")</f>
        <v>3305.6952645435013</v>
      </c>
      <c r="J38" s="21">
        <f>IF($B$7&gt;=18,0.0075*$B$5*18*(1+$B$6)^(18-1),"")</f>
        <v>13388.06582140118</v>
      </c>
    </row>
    <row r="39" spans="1:10" s="5" customFormat="1" x14ac:dyDescent="0.2">
      <c r="A39" s="18">
        <f>IF($B$7&gt;=19,19,"")</f>
        <v>19</v>
      </c>
      <c r="B39" s="19">
        <f>IF($B$7&gt;=19,0.0075*$B$5*(1+$B$6)^(19-1),"")</f>
        <v>766.09487755795647</v>
      </c>
      <c r="C39" s="20">
        <f>IF($B$7&gt;=19,SUM($B$21:B39)-$B$8,"")</f>
        <v>9302.5907961565099</v>
      </c>
      <c r="D39" s="20">
        <f>IF($B$7&gt;=19,0.0075*$B$5*19*(1+$B$6)^(19-1)-$B$8*(1+$B$6)^(19-1),"")</f>
        <v>11150.936551121365</v>
      </c>
      <c r="E39" s="21">
        <f>IF($B$7&gt;=19,$B$5*(1+$B$6)^19,"")</f>
        <v>105210.36318462601</v>
      </c>
      <c r="F39" s="21">
        <f>IF($B$7&gt;=19,(3/12)*$B$5*(1+$B$6)^(19-1),"")</f>
        <v>25536.49591859855</v>
      </c>
      <c r="G39" s="21">
        <f>IF($B$7&gt;=19,(9/12)*$B$5*(1+$B$6)^19,"")</f>
        <v>78907.772388469515</v>
      </c>
      <c r="H39" s="21">
        <f>IF($B$7&gt;=19,F39+G39,"")</f>
        <v>104444.26830706807</v>
      </c>
      <c r="I39" s="21">
        <f>IF($B$7&gt;=19,$B$8*(1+$B$6)^(19-1),"")</f>
        <v>3404.8661224798066</v>
      </c>
      <c r="J39" s="21">
        <f>IF($B$7&gt;=19,0.0075*$B$5*19*(1+$B$6)^(19-1),"")</f>
        <v>14555.802673601173</v>
      </c>
    </row>
    <row r="40" spans="1:10" s="5" customFormat="1" x14ac:dyDescent="0.2">
      <c r="A40" s="18">
        <f>IF($B$7&gt;=20,20,"")</f>
        <v>20</v>
      </c>
      <c r="B40" s="19">
        <f>IF($B$7&gt;=20,0.0075*$B$5*(1+$B$6)^(20-1),"")</f>
        <v>789.07772388469516</v>
      </c>
      <c r="C40" s="20">
        <f>IF($B$7&gt;=20,SUM($B$21:B40)-$B$8,"")</f>
        <v>10091.668520041205</v>
      </c>
      <c r="D40" s="20">
        <f>IF($B$7&gt;=20,0.0075*$B$5*20*(1+$B$6)^(20-1)-$B$8*(1+$B$6)^(20-1),"")</f>
        <v>12274.542371539701</v>
      </c>
      <c r="E40" s="21">
        <f>IF($B$7&gt;=20,$B$5*(1+$B$6)^20,"")</f>
        <v>108366.6740801648</v>
      </c>
      <c r="F40" s="21">
        <f>IF($B$7&gt;=20,(3/12)*$B$5*(1+$B$6)^(20-1),"")</f>
        <v>26302.590796156503</v>
      </c>
      <c r="G40" s="21">
        <f>IF($B$7&gt;=20,(9/12)*$B$5*(1+$B$6)^20,"")</f>
        <v>81275.005560123594</v>
      </c>
      <c r="H40" s="21">
        <f>IF($B$7&gt;=20,F40+G40,"")</f>
        <v>107577.59635628009</v>
      </c>
      <c r="I40" s="21">
        <f>IF($B$7&gt;=20,$B$8*(1+$B$6)^(20-1),"")</f>
        <v>3507.0121061542004</v>
      </c>
      <c r="J40" s="21">
        <f>IF($B$7&gt;=20,0.0075*$B$5*20*(1+$B$6)^(20-1),"")</f>
        <v>15781.554477693902</v>
      </c>
    </row>
    <row r="41" spans="1:10" s="5" customFormat="1" x14ac:dyDescent="0.2">
      <c r="A41" s="18">
        <f>IF($B$7&gt;=21,21,"")</f>
        <v>21</v>
      </c>
      <c r="B41" s="19">
        <f>IF($B$7&gt;=21,0.0075*$B$5*(1+$B$6)^(21-1),"")</f>
        <v>812.750055601236</v>
      </c>
      <c r="C41" s="20">
        <f>IF($B$7&gt;=21,SUM($B$21:B41)-$B$8,"")</f>
        <v>10904.418575642441</v>
      </c>
      <c r="D41" s="20">
        <f>IF($B$7&gt;=21,0.0075*$B$5*21*(1+$B$6)^(21-1)-$B$8*(1+$B$6)^(21-1),"")</f>
        <v>13455.528698287129</v>
      </c>
      <c r="E41" s="21">
        <f>IF($B$7&gt;=21,$B$5*(1+$B$6)^21,"")</f>
        <v>111617.67430256972</v>
      </c>
      <c r="F41" s="21">
        <f>IF($B$7&gt;=21,(3/12)*$B$5*(1+$B$6)^(21-1),"")</f>
        <v>27091.668520041199</v>
      </c>
      <c r="G41" s="21">
        <f>IF($B$7&gt;=21,(9/12)*$B$5*(1+$B$6)^21,"")</f>
        <v>83713.255726927295</v>
      </c>
      <c r="H41" s="21">
        <f>IF($B$7&gt;=21,F41+G41,"")</f>
        <v>110804.9242469685</v>
      </c>
      <c r="I41" s="21">
        <f>IF($B$7&gt;=21,$B$8*(1+$B$6)^(21-1),"")</f>
        <v>3612.2224693388266</v>
      </c>
      <c r="J41" s="21">
        <f>IF($B$7&gt;=21,0.0075*$B$5*21*(1+$B$6)^(21-1),"")</f>
        <v>17067.751167625956</v>
      </c>
    </row>
    <row r="42" spans="1:10" s="5" customFormat="1" x14ac:dyDescent="0.2">
      <c r="A42" s="18">
        <f>IF($B$7&gt;=22,22,"")</f>
        <v>22</v>
      </c>
      <c r="B42" s="19">
        <f>IF($B$7&gt;=22,0.0075*$B$5*(1+$B$6)^(22-1),"")</f>
        <v>837.13255726927298</v>
      </c>
      <c r="C42" s="20">
        <f>IF($B$7&gt;=22,SUM($B$21:B42)-$B$8,"")</f>
        <v>11741.551132911714</v>
      </c>
      <c r="D42" s="20">
        <f>IF($B$7&gt;=22,0.0075*$B$5*22*(1+$B$6)^(22-1)-$B$8*(1+$B$6)^(22-1),"")</f>
        <v>14696.327116505014</v>
      </c>
      <c r="E42" s="21">
        <f>IF($B$7&gt;=22,$B$5*(1+$B$6)^22,"")</f>
        <v>114966.20453164683</v>
      </c>
      <c r="F42" s="21">
        <f>IF($B$7&gt;=22,(3/12)*$B$5*(1+$B$6)^(22-1),"")</f>
        <v>27904.41857564243</v>
      </c>
      <c r="G42" s="21">
        <f>IF($B$7&gt;=22,(9/12)*$B$5*(1+$B$6)^22,"")</f>
        <v>86224.653398735114</v>
      </c>
      <c r="H42" s="21">
        <f>IF($B$7&gt;=22,F42+G42,"")</f>
        <v>114129.07197437754</v>
      </c>
      <c r="I42" s="21">
        <f>IF($B$7&gt;=22,$B$8*(1+$B$6)^(22-1),"")</f>
        <v>3720.5891434189907</v>
      </c>
      <c r="J42" s="21">
        <f>IF($B$7&gt;=22,0.0075*$B$5*22*(1+$B$6)^(22-1),"")</f>
        <v>18416.916259924004</v>
      </c>
    </row>
    <row r="43" spans="1:10" s="5" customFormat="1" x14ac:dyDescent="0.2">
      <c r="A43" s="18">
        <f>IF($B$7&gt;=23,23,"")</f>
        <v>23</v>
      </c>
      <c r="B43" s="19">
        <f>IF($B$7&gt;=23,0.0075*$B$5*(1+$B$6)^(23-1),"")</f>
        <v>862.2465339873512</v>
      </c>
      <c r="C43" s="20">
        <f>IF($B$7&gt;=23,SUM($B$21:B43)-$B$8,"")</f>
        <v>12603.797666899065</v>
      </c>
      <c r="D43" s="20">
        <f>IF($B$7&gt;=23,0.0075*$B$5*23*(1+$B$6)^(23-1)-$B$8*(1+$B$6)^(23-1),"")</f>
        <v>15999.463463987517</v>
      </c>
      <c r="E43" s="21">
        <f>IF($B$7&gt;=23,$B$5*(1+$B$6)^23,"")</f>
        <v>118415.19066759624</v>
      </c>
      <c r="F43" s="21">
        <f>IF($B$7&gt;=23,(3/12)*$B$5*(1+$B$6)^(23-1),"")</f>
        <v>28741.551132911707</v>
      </c>
      <c r="G43" s="21">
        <f>IF($B$7&gt;=23,(9/12)*$B$5*(1+$B$6)^23,"")</f>
        <v>88811.393000697179</v>
      </c>
      <c r="H43" s="21">
        <f>IF($B$7&gt;=23,F43+G43,"")</f>
        <v>117552.94413360889</v>
      </c>
      <c r="I43" s="21">
        <f>IF($B$7&gt;=23,$B$8*(1+$B$6)^(23-1),"")</f>
        <v>3832.206817721561</v>
      </c>
      <c r="J43" s="21">
        <f>IF($B$7&gt;=23,0.0075*$B$5*23*(1+$B$6)^(23-1),"")</f>
        <v>19831.670281709077</v>
      </c>
    </row>
    <row r="44" spans="1:10" s="5" customFormat="1" x14ac:dyDescent="0.2">
      <c r="A44" s="18">
        <f>IF($B$7&gt;=24,24,"")</f>
        <v>24</v>
      </c>
      <c r="B44" s="19">
        <f>IF($B$7&gt;=24,0.0075*$B$5*(1+$B$6)^(24-1),"")</f>
        <v>888.11393000697183</v>
      </c>
      <c r="C44" s="20">
        <f>IF($B$7&gt;=24,SUM($B$21:B44)-$B$8,"")</f>
        <v>13491.911596906037</v>
      </c>
      <c r="D44" s="20">
        <f>IF($B$7&gt;=24,0.0075*$B$5*24*(1+$B$6)^(24-1)-$B$8*(1+$B$6)^(24-1),"")</f>
        <v>17367.561297914115</v>
      </c>
      <c r="E44" s="21">
        <f>IF($B$7&gt;=24,$B$5*(1+$B$6)^24,"")</f>
        <v>121967.6463876241</v>
      </c>
      <c r="F44" s="21">
        <f>IF($B$7&gt;=24,(3/12)*$B$5*(1+$B$6)^(24-1),"")</f>
        <v>29603.79766689906</v>
      </c>
      <c r="G44" s="21">
        <f>IF($B$7&gt;=24,(9/12)*$B$5*(1+$B$6)^24,"")</f>
        <v>91475.734790718081</v>
      </c>
      <c r="H44" s="21">
        <f>IF($B$7&gt;=24,F44+G44,"")</f>
        <v>121079.53245761714</v>
      </c>
      <c r="I44" s="21">
        <f>IF($B$7&gt;=24,$B$8*(1+$B$6)^(24-1),"")</f>
        <v>3947.1730222532078</v>
      </c>
      <c r="J44" s="21">
        <f>IF($B$7&gt;=24,0.0075*$B$5*24*(1+$B$6)^(24-1),"")</f>
        <v>21314.734320167325</v>
      </c>
    </row>
    <row r="45" spans="1:10" s="5" customFormat="1" x14ac:dyDescent="0.2">
      <c r="A45" s="18">
        <f>IF($B$7&gt;=25,25,"")</f>
        <v>25</v>
      </c>
      <c r="B45" s="19">
        <f>IF($B$7&gt;=25,0.0075*$B$5*(1+$B$6)^(25-1),"")</f>
        <v>914.75734790718082</v>
      </c>
      <c r="C45" s="20">
        <f>IF($B$7&gt;=25,SUM($B$21:B45)-$B$8,"")</f>
        <v>14406.668944813217</v>
      </c>
      <c r="D45" s="20">
        <f>IF($B$7&gt;=25,0.0075*$B$5*25*(1+$B$6)^(25-1)-$B$8*(1+$B$6)^(25-1),"")</f>
        <v>18803.345484758716</v>
      </c>
      <c r="E45" s="21">
        <f>IF($B$7&gt;=25,$B$5*(1+$B$6)^25,"")</f>
        <v>125626.67577925284</v>
      </c>
      <c r="F45" s="21">
        <f>IF($B$7&gt;=25,(3/12)*$B$5*(1+$B$6)^(25-1),"")</f>
        <v>30491.911596906026</v>
      </c>
      <c r="G45" s="21">
        <f>IF($B$7&gt;=25,(9/12)*$B$5*(1+$B$6)^25,"")</f>
        <v>94220.006834439628</v>
      </c>
      <c r="H45" s="21">
        <f>IF($B$7&gt;=25,F45+G45,"")</f>
        <v>124711.91843134565</v>
      </c>
      <c r="I45" s="21">
        <f>IF($B$7&gt;=25,$B$8*(1+$B$6)^(25-1),"")</f>
        <v>4065.5882129208035</v>
      </c>
      <c r="J45" s="21">
        <f>IF($B$7&gt;=25,0.0075*$B$5*25*(1+$B$6)^(25-1),"")</f>
        <v>22868.93369767952</v>
      </c>
    </row>
    <row r="46" spans="1:10" s="5" customFormat="1" x14ac:dyDescent="0.2">
      <c r="A46" s="18">
        <f>IF($B$7&gt;=26,26,"")</f>
        <v>26</v>
      </c>
      <c r="B46" s="19">
        <f>IF($B$7&gt;=26,0.0075*$B$5*(1+$B$6)^(26-1),"")</f>
        <v>942.20006834439619</v>
      </c>
      <c r="C46" s="20">
        <f>IF($B$7&gt;=26,SUM($B$21:B46)-$B$8,"")</f>
        <v>15348.869013157611</v>
      </c>
      <c r="D46" s="20">
        <f>IF($B$7&gt;=26,0.0075*$B$5*26*(1+$B$6)^(26-1)-$B$8*(1+$B$6)^(26-1),"")</f>
        <v>20309.645917645874</v>
      </c>
      <c r="E46" s="21">
        <f>IF($B$7&gt;=26,$B$5*(1+$B$6)^26,"")</f>
        <v>129395.47605263043</v>
      </c>
      <c r="F46" s="21">
        <f>IF($B$7&gt;=26,(3/12)*$B$5*(1+$B$6)^(26-1),"")</f>
        <v>31406.668944813209</v>
      </c>
      <c r="G46" s="21">
        <f>IF($B$7&gt;=26,(9/12)*$B$5*(1+$B$6)^26,"")</f>
        <v>97046.60703947283</v>
      </c>
      <c r="H46" s="21">
        <f>IF($B$7&gt;=26,F46+G46,"")</f>
        <v>128453.27598428604</v>
      </c>
      <c r="I46" s="21">
        <f>IF($B$7&gt;=26,$B$8*(1+$B$6)^(26-1),"")</f>
        <v>4187.5558593084279</v>
      </c>
      <c r="J46" s="21">
        <f>IF($B$7&gt;=26,0.0075*$B$5*26*(1+$B$6)^(26-1),"")</f>
        <v>24497.201776954302</v>
      </c>
    </row>
    <row r="47" spans="1:10" s="5" customFormat="1" x14ac:dyDescent="0.2">
      <c r="A47" s="18">
        <f>IF($B$7&gt;=27,27,"")</f>
        <v>27</v>
      </c>
      <c r="B47" s="19">
        <f>IF($B$7&gt;=27,0.0075*$B$5*(1+$B$6)^(27-1),"")</f>
        <v>970.46607039472826</v>
      </c>
      <c r="C47" s="20">
        <f>IF($B$7&gt;=27,SUM($B$21:B47)-$B$8,"")</f>
        <v>16319.335083552338</v>
      </c>
      <c r="D47" s="20">
        <f>IF($B$7&gt;=27,0.0075*$B$5*27*(1+$B$6)^(27-1)-$B$8*(1+$B$6)^(27-1),"")</f>
        <v>21889.401365569982</v>
      </c>
      <c r="E47" s="21">
        <f>IF($B$7&gt;=27,$B$5*(1+$B$6)^27,"")</f>
        <v>133277.34033420932</v>
      </c>
      <c r="F47" s="21">
        <f>IF($B$7&gt;=27,(3/12)*$B$5*(1+$B$6)^(27-1),"")</f>
        <v>32348.869013157608</v>
      </c>
      <c r="G47" s="21">
        <f>IF($B$7&gt;=27,(9/12)*$B$5*(1+$B$6)^27,"")</f>
        <v>99958.005250656992</v>
      </c>
      <c r="H47" s="21">
        <f>IF($B$7&gt;=27,F47+G47,"")</f>
        <v>132306.87426381459</v>
      </c>
      <c r="I47" s="21">
        <f>IF($B$7&gt;=27,$B$8*(1+$B$6)^(27-1),"")</f>
        <v>4313.1825350876816</v>
      </c>
      <c r="J47" s="21">
        <f>IF($B$7&gt;=27,0.0075*$B$5*27*(1+$B$6)^(27-1),"")</f>
        <v>26202.583900657664</v>
      </c>
    </row>
    <row r="48" spans="1:10" s="5" customFormat="1" x14ac:dyDescent="0.2">
      <c r="A48" s="18">
        <f>IF($B$7&gt;=28,28,"")</f>
        <v>28</v>
      </c>
      <c r="B48" s="19">
        <f>IF($B$7&gt;=28,0.0075*$B$5*(1+$B$6)^(28-1),"")</f>
        <v>999.58005250656993</v>
      </c>
      <c r="C48" s="20">
        <f>IF($B$7&gt;=28,SUM($B$21:B48)-$B$8,"")</f>
        <v>17318.915136058909</v>
      </c>
      <c r="D48" s="20">
        <f>IF($B$7&gt;=28,0.0075*$B$5*28*(1+$B$6)^(28-1)-$B$8*(1+$B$6)^(28-1),"")</f>
        <v>23545.663459043648</v>
      </c>
      <c r="E48" s="21">
        <f>IF($B$7&gt;=28,$B$5*(1+$B$6)^28,"")</f>
        <v>137275.66054423561</v>
      </c>
      <c r="F48" s="21">
        <f>IF($B$7&gt;=28,(3/12)*$B$5*(1+$B$6)^(28-1),"")</f>
        <v>33319.335083552331</v>
      </c>
      <c r="G48" s="21">
        <f>IF($B$7&gt;=28,(9/12)*$B$5*(1+$B$6)^28,"")</f>
        <v>102956.74540817671</v>
      </c>
      <c r="H48" s="21">
        <f>IF($B$7&gt;=28,F48+G48,"")</f>
        <v>136276.08049172902</v>
      </c>
      <c r="I48" s="21">
        <f>IF($B$7&gt;=28,$B$8*(1+$B$6)^(28-1),"")</f>
        <v>4442.578011140311</v>
      </c>
      <c r="J48" s="21">
        <f>IF($B$7&gt;=28,0.0075*$B$5*28*(1+$B$6)^(28-1),"")</f>
        <v>27988.241470183959</v>
      </c>
    </row>
    <row r="49" spans="1:10" s="5" customFormat="1" x14ac:dyDescent="0.2">
      <c r="A49" s="18">
        <f>IF($B$7&gt;=29,29,"")</f>
        <v>29</v>
      </c>
      <c r="B49" s="19">
        <f>IF($B$7&gt;=29,0.0075*$B$5*(1+$B$6)^(29-1),"")</f>
        <v>1029.567454081767</v>
      </c>
      <c r="C49" s="20">
        <f>IF($B$7&gt;=29,SUM($B$21:B49)-$B$8,"")</f>
        <v>18348.482590140677</v>
      </c>
      <c r="D49" s="20">
        <f>IF($B$7&gt;=29,0.0075*$B$5*29*(1+$B$6)^(29-1)-$B$8*(1+$B$6)^(29-1),"")</f>
        <v>25281.600816896724</v>
      </c>
      <c r="E49" s="21">
        <f>IF($B$7&gt;=29,$B$5*(1+$B$6)^29,"")</f>
        <v>141393.93036056266</v>
      </c>
      <c r="F49" s="21">
        <f>IF($B$7&gt;=29,(3/12)*$B$5*(1+$B$6)^(29-1),"")</f>
        <v>34318.915136058902</v>
      </c>
      <c r="G49" s="21">
        <f>IF($B$7&gt;=29,(9/12)*$B$5*(1+$B$6)^29,"")</f>
        <v>106045.447770422</v>
      </c>
      <c r="H49" s="21">
        <f>IF($B$7&gt;=29,F49+G49,"")</f>
        <v>140364.36290648091</v>
      </c>
      <c r="I49" s="21">
        <f>IF($B$7&gt;=29,$B$8*(1+$B$6)^(29-1),"")</f>
        <v>4575.8553514745208</v>
      </c>
      <c r="J49" s="21">
        <f>IF($B$7&gt;=29,0.0075*$B$5*29*(1+$B$6)^(29-1),"")</f>
        <v>29857.456168371245</v>
      </c>
    </row>
    <row r="50" spans="1:10" s="5" customFormat="1" x14ac:dyDescent="0.2">
      <c r="A50" s="18">
        <f>IF($B$7&gt;=30,30,"")</f>
        <v>30</v>
      </c>
      <c r="B50" s="19">
        <f>IF($B$7&gt;=30,0.0075*$B$5*(1+$B$6)^(30-1),"")</f>
        <v>1060.4544777042199</v>
      </c>
      <c r="C50" s="20">
        <f>IF($B$7&gt;=30,SUM($B$21:B50)-$B$8,"")</f>
        <v>19408.937067844898</v>
      </c>
      <c r="D50" s="20">
        <f>IF($B$7&gt;=30,0.0075*$B$5*30*(1+$B$6)^(30-1)-$B$8*(1+$B$6)^(30-1),"")</f>
        <v>27100.503319107844</v>
      </c>
      <c r="E50" s="21">
        <f>IF($B$7&gt;=30,$B$5*(1+$B$6)^30,"")</f>
        <v>145635.74827137953</v>
      </c>
      <c r="F50" s="21">
        <f>IF($B$7&gt;=30,(3/12)*$B$5*(1+$B$6)^(30-1),"")</f>
        <v>35348.482590140666</v>
      </c>
      <c r="G50" s="21">
        <f>IF($B$7&gt;=30,(9/12)*$B$5*(1+$B$6)^30,"")</f>
        <v>109226.81120353466</v>
      </c>
      <c r="H50" s="21">
        <f>IF($B$7&gt;=30,F50+G50,"")</f>
        <v>144575.29379367532</v>
      </c>
      <c r="I50" s="21">
        <f>IF($B$7&gt;=30,$B$8*(1+$B$6)^(30-1),"")</f>
        <v>4713.1310120187554</v>
      </c>
      <c r="J50" s="21">
        <f>IF($B$7&gt;=30,0.0075*$B$5*30*(1+$B$6)^(30-1),"")</f>
        <v>31813.634331126599</v>
      </c>
    </row>
    <row r="51" spans="1:10" s="5" customFormat="1" x14ac:dyDescent="0.2">
      <c r="A51" s="18">
        <f>IF($B$7&gt;=31,31,"")</f>
        <v>31</v>
      </c>
      <c r="B51" s="19">
        <f>IF($B$7&gt;=31,0.0075*$B$5*(1+$B$6)^(31-1),"")</f>
        <v>1092.2681120353466</v>
      </c>
      <c r="C51" s="20">
        <f>IF($B$7&gt;=31,SUM($B$21:B51)-$B$8,"")</f>
        <v>20501.205179880246</v>
      </c>
      <c r="D51" s="20">
        <f>IF($B$7&gt;=31,0.0075*$B$5*31*(1+$B$6)^(31-1)-$B$8*(1+$B$6)^(31-1),"")</f>
        <v>29005.786530716428</v>
      </c>
      <c r="E51" s="21">
        <f>IF($B$7&gt;=31,$B$5*(1+$B$6)^31,"")</f>
        <v>150004.82071952097</v>
      </c>
      <c r="F51" s="21">
        <f>IF($B$7&gt;=31,(3/12)*$B$5*(1+$B$6)^(31-1),"")</f>
        <v>36408.937067844883</v>
      </c>
      <c r="G51" s="21">
        <f>IF($B$7&gt;=31,(9/12)*$B$5*(1+$B$6)^31,"")</f>
        <v>112503.61553964071</v>
      </c>
      <c r="H51" s="21">
        <f>IF($B$7&gt;=31,F51+G51,"")</f>
        <v>148912.55260748559</v>
      </c>
      <c r="I51" s="21">
        <f>IF($B$7&gt;=31,$B$8*(1+$B$6)^(31-1),"")</f>
        <v>4854.5249423793184</v>
      </c>
      <c r="J51" s="21">
        <f>IF($B$7&gt;=31,0.0075*$B$5*31*(1+$B$6)^(31-1),"")</f>
        <v>33860.311473095746</v>
      </c>
    </row>
    <row r="52" spans="1:10" s="5" customFormat="1" x14ac:dyDescent="0.2">
      <c r="A52" s="18">
        <f>IF($B$7&gt;=32,32,"")</f>
        <v>32</v>
      </c>
      <c r="B52" s="19">
        <f>IF($B$7&gt;=32,0.0075*$B$5*(1+$B$6)^(32-1),"")</f>
        <v>1125.0361553964071</v>
      </c>
      <c r="C52" s="20">
        <f>IF($B$7&gt;=32,SUM($B$21:B52)-$B$8,"")</f>
        <v>21626.241335276653</v>
      </c>
      <c r="D52" s="20">
        <f>IF($B$7&gt;=32,0.0075*$B$5*32*(1+$B$6)^(32-1)-$B$8*(1+$B$6)^(32-1),"")</f>
        <v>31000.996282034328</v>
      </c>
      <c r="E52" s="21">
        <f>IF($B$7&gt;=32,$B$5*(1+$B$6)^32,"")</f>
        <v>154504.96534110655</v>
      </c>
      <c r="F52" s="21">
        <f>IF($B$7&gt;=32,(3/12)*$B$5*(1+$B$6)^(32-1),"")</f>
        <v>37501.205179880242</v>
      </c>
      <c r="G52" s="21">
        <f>IF($B$7&gt;=32,(9/12)*$B$5*(1+$B$6)^32,"")</f>
        <v>115878.72400582992</v>
      </c>
      <c r="H52" s="21">
        <f>IF($B$7&gt;=32,F52+G52,"")</f>
        <v>153379.92918571015</v>
      </c>
      <c r="I52" s="21">
        <f>IF($B$7&gt;=32,$B$8*(1+$B$6)^(32-1),"")</f>
        <v>5000.1606906506986</v>
      </c>
      <c r="J52" s="21">
        <f>IF($B$7&gt;=32,0.0075*$B$5*32*(1+$B$6)^(32-1),"")</f>
        <v>36001.156972685028</v>
      </c>
    </row>
    <row r="53" spans="1:10" s="5" customFormat="1" x14ac:dyDescent="0.2">
      <c r="A53" s="18" t="str">
        <f>IF($B$7&gt;=33,33,"")</f>
        <v/>
      </c>
      <c r="B53" s="19" t="str">
        <f>IF($B$7&gt;=33,0.0075*$B$5*(1+$B$6)^(33-1),"")</f>
        <v/>
      </c>
      <c r="C53" s="19" t="str">
        <f>IF($B$7&gt;=33,SUM($B$21:B53)-$B$8,"")</f>
        <v/>
      </c>
      <c r="D53" s="19" t="str">
        <f>IF($B$7&gt;=33,0.0075*$B$5*33*(1+$B$6)^(33-1)-$B$8*(1+$B$6)^(33-1),"")</f>
        <v/>
      </c>
      <c r="E53" s="21" t="str">
        <f>IF($B$7&gt;=33,$B$5*(1+$B$6)^33,"")</f>
        <v/>
      </c>
      <c r="F53" s="21" t="str">
        <f>IF($B$7&gt;=33,(3/12)*$B$5*(1+$B$6)^(33-1),"")</f>
        <v/>
      </c>
      <c r="G53" s="21" t="str">
        <f>IF($B$7&gt;=33,(9/12)*$B$5*(1+$B$6)^33,"")</f>
        <v/>
      </c>
      <c r="H53" s="21" t="str">
        <f>IF($B$7&gt;=33,F53+G53,"")</f>
        <v/>
      </c>
      <c r="I53" s="21" t="str">
        <f>IF($B$7&gt;=33,$B$8*(1+$B$6)^(33-1),"")</f>
        <v/>
      </c>
      <c r="J53" s="21" t="str">
        <f>IF($B$7&gt;=33,0.0075*$B$5*33*(1+$B$6)^(33-1),"")</f>
        <v/>
      </c>
    </row>
    <row r="54" spans="1:10" s="5" customFormat="1" x14ac:dyDescent="0.2">
      <c r="A54" s="18" t="str">
        <f>IF($B$7&gt;=34,34,"")</f>
        <v/>
      </c>
      <c r="B54" s="19" t="str">
        <f>IF($B$7&gt;=34,0.0075*$B$5*(1+$B$6)^(34-1),"")</f>
        <v/>
      </c>
      <c r="C54" s="19" t="str">
        <f>IF($B$7&gt;=34,SUM($B$21:B54)-$B$8,"")</f>
        <v/>
      </c>
      <c r="D54" s="19" t="str">
        <f>IF($B$7&gt;=34,0.0075*$B$5*34*(1+$B$6)^(34-1)-$B$8*(1+$B$6)^(34-1),"")</f>
        <v/>
      </c>
      <c r="E54" s="21" t="str">
        <f>IF($B$7&gt;=34,$B$5*(1+$B$6)^34,"")</f>
        <v/>
      </c>
      <c r="F54" s="21" t="str">
        <f>IF($B$7&gt;=34,(3/12)*$B$5*(1+$B$6)^(34-1),"")</f>
        <v/>
      </c>
      <c r="G54" s="21" t="str">
        <f>IF($B$7&gt;=34,(9/12)*$B$5*(1+$B$6)^34,"")</f>
        <v/>
      </c>
      <c r="H54" s="21" t="str">
        <f>IF($B$7&gt;=34,F54+G54,"")</f>
        <v/>
      </c>
      <c r="I54" s="21" t="str">
        <f>IF($B$7&gt;=34,$B$8*(1+$B$6)^(34-1),"")</f>
        <v/>
      </c>
      <c r="J54" s="21" t="str">
        <f>IF($B$7&gt;=34,0.0075*$B$5*34*(1+$B$6)^(34-1),"")</f>
        <v/>
      </c>
    </row>
    <row r="55" spans="1:10" s="5" customFormat="1" x14ac:dyDescent="0.2">
      <c r="A55" s="18" t="str">
        <f>IF($B$7&gt;=35,35,"")</f>
        <v/>
      </c>
      <c r="B55" s="19" t="str">
        <f>IF($B$7&gt;=35,0.0075*$B$5*(1+$B$6)^(35-1),"")</f>
        <v/>
      </c>
      <c r="C55" s="19" t="str">
        <f>IF($B$7&gt;=35,SUM($B$21:B55)-$B$8,"")</f>
        <v/>
      </c>
      <c r="D55" s="19" t="str">
        <f>IF($B$7&gt;=35,0.0075*$B$5*35*(1+$B$6)^(35-1)-$B$8*(1+$B$6)^(35-1),"")</f>
        <v/>
      </c>
      <c r="E55" s="21" t="str">
        <f>IF($B$7&gt;=35,$B$5*(1+$B$6)^35,"")</f>
        <v/>
      </c>
      <c r="F55" s="21" t="str">
        <f>IF($B$7&gt;=35,(3/12)*$B$5*(1+$B$6)^(35-1),"")</f>
        <v/>
      </c>
      <c r="G55" s="21" t="str">
        <f>IF($B$7&gt;=35,(9/12)*$B$5*(1+$B$6)^35,"")</f>
        <v/>
      </c>
      <c r="H55" s="21" t="str">
        <f>IF($B$7&gt;=35,F55+G55,"")</f>
        <v/>
      </c>
      <c r="I55" s="21" t="str">
        <f>IF($B$7&gt;=35,$B$8*(1+$B$6)^(35-1),"")</f>
        <v/>
      </c>
      <c r="J55" s="21" t="str">
        <f>IF($B$7&gt;=35,0.0075*$B$5*35*(1+$B$6)^(35-1),"")</f>
        <v/>
      </c>
    </row>
    <row r="56" spans="1:10" s="5" customFormat="1" x14ac:dyDescent="0.2">
      <c r="A56" s="18" t="str">
        <f>IF($B$7&gt;=36,36,"")</f>
        <v/>
      </c>
      <c r="B56" s="19" t="str">
        <f>IF($B$7&gt;=36,0.0075*$B$5*(1+$B$6)^(36-1),"")</f>
        <v/>
      </c>
      <c r="C56" s="19" t="str">
        <f>IF($B$7&gt;=36,SUM($B$21:B56)-$B$8,"")</f>
        <v/>
      </c>
      <c r="D56" s="19" t="str">
        <f>IF($B$7&gt;=36,0.0075*$B$5*36*(1+$B$6)^(36-1)-$B$8*(1+$B$6)^(36-1),"")</f>
        <v/>
      </c>
      <c r="E56" s="21" t="str">
        <f>IF($B$7&gt;=36,$B$5*(1+$B$6)^36,"")</f>
        <v/>
      </c>
      <c r="F56" s="21" t="str">
        <f>IF($B$7&gt;=36,(3/12)*$B$5*(1+$B$6)^(36-1),"")</f>
        <v/>
      </c>
      <c r="G56" s="21" t="str">
        <f>IF($B$7&gt;=36,(9/12)*$B$5*(1+$B$6)^36,"")</f>
        <v/>
      </c>
      <c r="H56" s="21" t="str">
        <f>IF($B$7&gt;=36,F56+G56,"")</f>
        <v/>
      </c>
      <c r="I56" s="21" t="str">
        <f>IF($B$7&gt;=36,$B$8*(1+$B$6)^(36-1),"")</f>
        <v/>
      </c>
      <c r="J56" s="21" t="str">
        <f>IF($B$7&gt;=36,0.0075*$B$5*36*(1+$B$6)^(36-1),"")</f>
        <v/>
      </c>
    </row>
    <row r="57" spans="1:10" s="5" customFormat="1" x14ac:dyDescent="0.2">
      <c r="A57" s="18" t="str">
        <f>IF($B$7&gt;=37,37,"")</f>
        <v/>
      </c>
      <c r="B57" s="19" t="str">
        <f>IF($B$7&gt;=37,0.0075*$B$5*(1+$B$6)^(37-1),"")</f>
        <v/>
      </c>
      <c r="C57" s="19" t="str">
        <f>IF($B$7&gt;=37,SUM($B$21:B57)-$B$8,"")</f>
        <v/>
      </c>
      <c r="D57" s="19" t="str">
        <f>IF($B$7&gt;=37,0.0075*$B$5*37*(1+$B$6)^(37-1)-$B$8*(1+$B$6)^(37-1),"")</f>
        <v/>
      </c>
      <c r="E57" s="21" t="str">
        <f>IF($B$7&gt;=37,$B$5*(1+$B$6)^37,"")</f>
        <v/>
      </c>
      <c r="F57" s="21" t="str">
        <f>IF($B$7&gt;=37,(3/12)*$B$5*(1+$B$6)^(37-1),"")</f>
        <v/>
      </c>
      <c r="G57" s="21" t="str">
        <f>IF($B$7&gt;=37,(9/12)*$B$5*(1+$B$6)^37,"")</f>
        <v/>
      </c>
      <c r="H57" s="21" t="str">
        <f>IF($B$7&gt;=37,F57+G57,"")</f>
        <v/>
      </c>
      <c r="I57" s="21" t="str">
        <f>IF($B$7&gt;=37,$B$8*(1+$B$6)^(37-1),"")</f>
        <v/>
      </c>
      <c r="J57" s="21" t="str">
        <f>IF($B$7&gt;=37,0.0075*$B$5*37*(1+$B$6)^(37-1),"")</f>
        <v/>
      </c>
    </row>
    <row r="58" spans="1:10" s="5" customFormat="1" x14ac:dyDescent="0.2">
      <c r="A58" s="18" t="str">
        <f>IF($B$7&gt;=38,38,"")</f>
        <v/>
      </c>
      <c r="B58" s="19" t="str">
        <f>IF($B$7&gt;=38,0.0075*$B$5*(1+$B$6)^(38-1),"")</f>
        <v/>
      </c>
      <c r="C58" s="19" t="str">
        <f>IF($B$7&gt;=38,SUM($B$21:B58)-$B$8,"")</f>
        <v/>
      </c>
      <c r="D58" s="19" t="str">
        <f>IF($B$7&gt;=38,0.0075*$B$5*38*(1+$B$6)^(38-1)-$B$8*(1+$B$6)^(38-1),"")</f>
        <v/>
      </c>
      <c r="E58" s="21" t="str">
        <f>IF($B$7&gt;=38,$B$5*(1+$B$6)^38,"")</f>
        <v/>
      </c>
      <c r="F58" s="21" t="str">
        <f>IF($B$7&gt;=38,(3/12)*$B$5*(1+$B$6)^(38-1),"")</f>
        <v/>
      </c>
      <c r="G58" s="21" t="str">
        <f>IF($B$7&gt;=38,(9/12)*$B$5*(1+$B$6)^38,"")</f>
        <v/>
      </c>
      <c r="H58" s="21" t="str">
        <f>IF($B$7&gt;=38,F58+G58,"")</f>
        <v/>
      </c>
      <c r="I58" s="21" t="str">
        <f>IF($B$7&gt;=38,$B$8*(1+$B$6)^(38-1),"")</f>
        <v/>
      </c>
      <c r="J58" s="21" t="str">
        <f>IF($B$7&gt;=38,0.0075*$B$5*38*(1+$B$6)^(38-1),"")</f>
        <v/>
      </c>
    </row>
    <row r="59" spans="1:10" s="5" customFormat="1" x14ac:dyDescent="0.2">
      <c r="A59" s="18" t="str">
        <f>IF($B$7&gt;=39,39,"")</f>
        <v/>
      </c>
      <c r="B59" s="19" t="str">
        <f>IF($B$7&gt;=39,0.0075*$B$5*(1+$B$6)^(39-1),"")</f>
        <v/>
      </c>
      <c r="C59" s="19" t="str">
        <f>IF($B$7&gt;=39,SUM($B$21:B59)-$B$8,"")</f>
        <v/>
      </c>
      <c r="D59" s="19" t="str">
        <f>IF($B$7&gt;=39,0.0075*$B$5*39*(1+$B$6)^(39-1)-$B$8*(1+$B$6)^(39-1),"")</f>
        <v/>
      </c>
      <c r="E59" s="21" t="str">
        <f>IF($B$7&gt;=39,$B$5*(1+$B$6)^39,"")</f>
        <v/>
      </c>
      <c r="F59" s="21" t="str">
        <f>IF($B$7&gt;=39,(3/12)*$B$5*(1+$B$6)^(39-1),"")</f>
        <v/>
      </c>
      <c r="G59" s="21" t="str">
        <f>IF($B$7&gt;=39,(9/12)*$B$5*(1+$B$6)^39,"")</f>
        <v/>
      </c>
      <c r="H59" s="21" t="str">
        <f>IF($B$7&gt;=39,F59+G59,"")</f>
        <v/>
      </c>
      <c r="I59" s="21" t="str">
        <f>IF($B$7&gt;=39,$B$8*(1+$B$6)^(39-1),"")</f>
        <v/>
      </c>
      <c r="J59" s="21" t="str">
        <f>IF($B$7&gt;=39,0.0075*$B$5*39*(1+$B$6)^(39-1),"")</f>
        <v/>
      </c>
    </row>
    <row r="60" spans="1:10" s="5" customFormat="1" x14ac:dyDescent="0.2">
      <c r="A60" s="18" t="str">
        <f>IF($B$7&gt;=40,40,"")</f>
        <v/>
      </c>
      <c r="B60" s="19" t="str">
        <f>IF($B$7&gt;=40,0.0075*$B$5*(1+$B$6)^(40-1),"")</f>
        <v/>
      </c>
      <c r="C60" s="19" t="str">
        <f>IF($B$7&gt;=40,SUM($B$21:B60)-$B$8,"")</f>
        <v/>
      </c>
      <c r="D60" s="19" t="str">
        <f>IF($B$7&gt;=40,0.0075*$B$5*40*(1+$B$6)^(40-1)-$B$8*(1+$B$6)^(40-1),"")</f>
        <v/>
      </c>
      <c r="E60" s="21" t="str">
        <f>IF($B$7&gt;=40,$B$5*(1+$B$6)^40,"")</f>
        <v/>
      </c>
      <c r="F60" s="21" t="str">
        <f>IF($B$7&gt;=40,(3/12)*$B$5*(1+$B$6)^(40-1),"")</f>
        <v/>
      </c>
      <c r="G60" s="21" t="str">
        <f>IF($B$7&gt;=40,(9/12)*$B$5*(1+$B$6)^40,"")</f>
        <v/>
      </c>
      <c r="H60" s="21" t="str">
        <f>IF($B$7&gt;=40,F60+G60,"")</f>
        <v/>
      </c>
      <c r="I60" s="21" t="str">
        <f>IF($B$7&gt;=40,$B$8*(1+$B$6)^(40-1),"")</f>
        <v/>
      </c>
      <c r="J60" s="21" t="str">
        <f>IF($B$7&gt;=40,0.0075*$B$5*40*(1+$B$6)^(40-1),"")</f>
        <v/>
      </c>
    </row>
    <row r="61" spans="1:10" s="5" customFormat="1" x14ac:dyDescent="0.2">
      <c r="A61" s="18" t="str">
        <f>IF($B$7&gt;=41,41,"")</f>
        <v/>
      </c>
      <c r="B61" s="19" t="str">
        <f>IF($B$7&gt;=41,0.0075*$B$5*(1+$B$6)^(41-1),"")</f>
        <v/>
      </c>
      <c r="C61" s="19" t="str">
        <f>IF($B$7&gt;=41,SUM($B$21:B61)-$B$8,"")</f>
        <v/>
      </c>
      <c r="D61" s="19" t="str">
        <f>IF($B$7&gt;=41,0.0075*$B$5*41*(1+$B$6)^(41-1)-$B$8*(1+$B$6)^(41-1),"")</f>
        <v/>
      </c>
      <c r="E61" s="21" t="str">
        <f>IF($B$7&gt;=41,$B$5*(1+$B$6)^41,"")</f>
        <v/>
      </c>
      <c r="F61" s="21" t="str">
        <f>IF($B$7&gt;=41,(3/12)*$B$5*(1+$B$6)^(41-1),"")</f>
        <v/>
      </c>
      <c r="G61" s="21" t="str">
        <f>IF($B$7&gt;=41,(9/12)*$B$5*(1+$B$6)^41,"")</f>
        <v/>
      </c>
      <c r="H61" s="21" t="str">
        <f>IF($B$7&gt;=41,F61+G61,"")</f>
        <v/>
      </c>
      <c r="I61" s="21" t="str">
        <f>IF($B$7&gt;=41,$B$8*(1+$B$6)^(41-1),"")</f>
        <v/>
      </c>
      <c r="J61" s="21" t="str">
        <f>IF($B$7&gt;=41,0.0075*$B$5*41*(1+$B$6)^(41-1),"")</f>
        <v/>
      </c>
    </row>
    <row r="62" spans="1:10" s="5" customFormat="1" x14ac:dyDescent="0.2">
      <c r="A62" s="18" t="str">
        <f>IF($B$7&gt;=42,42,"")</f>
        <v/>
      </c>
      <c r="B62" s="19" t="str">
        <f>IF($B$7&gt;=42,0.0075*$B$5*(1+$B$6)^(42-1),"")</f>
        <v/>
      </c>
      <c r="C62" s="19" t="str">
        <f>IF($B$7&gt;=42,SUM($B$21:B62)-$B$8,"")</f>
        <v/>
      </c>
      <c r="D62" s="19" t="str">
        <f>IF($B$7&gt;=42,0.0075*$B$5*42*(1+$B$6)^(42-1)-$B$8*(1+$B$6)^(42-1),"")</f>
        <v/>
      </c>
      <c r="E62" s="21" t="str">
        <f>IF($B$7&gt;=42,$B$5*(1+$B$6)^42,"")</f>
        <v/>
      </c>
      <c r="F62" s="21" t="str">
        <f>IF($B$7&gt;=42,(3/12)*$B$5*(1+$B$6)^(42-1),"")</f>
        <v/>
      </c>
      <c r="G62" s="21" t="str">
        <f>IF($B$7&gt;=42,(9/12)*$B$5*(1+$B$6)^42,"")</f>
        <v/>
      </c>
      <c r="H62" s="21" t="str">
        <f>IF($B$7&gt;=42,F62+G62,"")</f>
        <v/>
      </c>
      <c r="I62" s="21" t="str">
        <f>IF($B$7&gt;=42,$B$8*(1+$B$6)^(42-1),"")</f>
        <v/>
      </c>
      <c r="J62" s="21" t="str">
        <f>IF($B$7&gt;=42,0.0075*$B$5*42*(1+$B$6)^(42-1),"")</f>
        <v/>
      </c>
    </row>
    <row r="63" spans="1:10" s="5" customFormat="1" x14ac:dyDescent="0.2">
      <c r="A63" s="18" t="str">
        <f>IF($B$7&gt;=43,43,"")</f>
        <v/>
      </c>
      <c r="B63" s="19" t="str">
        <f>IF($B$7&gt;=43,0.0075*$B$5*(1+$B$6)^(43-1),"")</f>
        <v/>
      </c>
      <c r="C63" s="19" t="str">
        <f>IF($B$7&gt;=43,SUM($B$21:B63)-$B$8,"")</f>
        <v/>
      </c>
      <c r="D63" s="19" t="str">
        <f>IF($B$7&gt;=43,0.0075*$B$5*43*(1+$B$6)^(43-1)-$B$8*(1+$B$6)^(43-1),"")</f>
        <v/>
      </c>
      <c r="E63" s="21" t="str">
        <f>IF($B$7&gt;=43,$B$5*(1+$B$6)^43,"")</f>
        <v/>
      </c>
      <c r="F63" s="21" t="str">
        <f>IF($B$7&gt;=43,(3/12)*$B$5*(1+$B$6)^(43-1),"")</f>
        <v/>
      </c>
      <c r="G63" s="21" t="str">
        <f>IF($B$7&gt;=43,(9/12)*$B$5*(1+$B$6)^43,"")</f>
        <v/>
      </c>
      <c r="H63" s="21" t="str">
        <f>IF($B$7&gt;=43,F63+G63,"")</f>
        <v/>
      </c>
      <c r="I63" s="21" t="str">
        <f>IF($B$7&gt;=43,$B$8*(1+$B$6)^(43-1),"")</f>
        <v/>
      </c>
      <c r="J63" s="21" t="str">
        <f>IF($B$7&gt;=43,0.0075*$B$5*43*(1+$B$6)^(43-1),"")</f>
        <v/>
      </c>
    </row>
    <row r="64" spans="1:10" s="5" customFormat="1" x14ac:dyDescent="0.2">
      <c r="A64" s="18" t="str">
        <f>IF($B$7&gt;=44,44,"")</f>
        <v/>
      </c>
      <c r="B64" s="19" t="str">
        <f>IF($B$7&gt;=44,0.0075*$B$5*(1+$B$6)^(44-1),"")</f>
        <v/>
      </c>
      <c r="C64" s="19" t="str">
        <f>IF($B$7&gt;=44,SUM($B$21:B64)-$B$8,"")</f>
        <v/>
      </c>
      <c r="D64" s="19" t="str">
        <f>IF($B$7&gt;=44,0.0075*$B$5*44*(1+$B$6)^(44-1)-$B$8*(1+$B$6)^(44-1),"")</f>
        <v/>
      </c>
      <c r="E64" s="21" t="str">
        <f>IF($B$7&gt;=44,$B$5*(1+$B$6)^44,"")</f>
        <v/>
      </c>
      <c r="F64" s="21" t="str">
        <f>IF($B$7&gt;=44,(3/12)*$B$5*(1+$B$6)^(44-1),"")</f>
        <v/>
      </c>
      <c r="G64" s="21" t="str">
        <f>IF($B$7&gt;=44,(9/12)*$B$5*(1+$B$6)^44,"")</f>
        <v/>
      </c>
      <c r="H64" s="21" t="str">
        <f>IF($B$7&gt;=44,F64+G64,"")</f>
        <v/>
      </c>
      <c r="I64" s="21" t="str">
        <f>IF($B$7&gt;=44,$B$8*(1+$B$6)^(44-1),"")</f>
        <v/>
      </c>
      <c r="J64" s="21" t="str">
        <f>IF($B$7&gt;=44,0.0075*$B$5*44*(1+$B$6)^(44-1),"")</f>
        <v/>
      </c>
    </row>
    <row r="65" spans="1:10" s="5" customFormat="1" x14ac:dyDescent="0.2">
      <c r="A65" s="18" t="str">
        <f>IF($B$7&gt;=45,45,"")</f>
        <v/>
      </c>
      <c r="B65" s="19" t="str">
        <f>IF($B$7&gt;=45,0.0075*$B$5*(1+$B$6)^(45-1),"")</f>
        <v/>
      </c>
      <c r="C65" s="19" t="str">
        <f>IF($B$7&gt;=45,SUM($B$21:B65)-$B$8,"")</f>
        <v/>
      </c>
      <c r="D65" s="19" t="str">
        <f>IF($B$7&gt;=45,0.0075*$B$5*45*(1+$B$6)^(45-1)-$B$8*(1+$B$6)^(45-1),"")</f>
        <v/>
      </c>
      <c r="E65" s="21" t="str">
        <f>IF($B$7&gt;=45,$B$5*(1+$B$6)^45,"")</f>
        <v/>
      </c>
      <c r="F65" s="21" t="str">
        <f>IF($B$7&gt;=45,(3/12)*$B$5*(1+$B$6)^(45-1),"")</f>
        <v/>
      </c>
      <c r="G65" s="21" t="str">
        <f>IF($B$7&gt;=45,(9/12)*$B$5*(1+$B$6)^45,"")</f>
        <v/>
      </c>
      <c r="H65" s="21" t="str">
        <f>IF($B$7&gt;=45,F65+G65,"")</f>
        <v/>
      </c>
      <c r="I65" s="21" t="str">
        <f>IF($B$7&gt;=45,$B$8*(1+$B$6)^(45-1),"")</f>
        <v/>
      </c>
      <c r="J65" s="21" t="str">
        <f>IF($B$7&gt;=45,0.0075*$B$5*45*(1+$B$6)^(45-1),"")</f>
        <v/>
      </c>
    </row>
    <row r="66" spans="1:10" x14ac:dyDescent="0.2">
      <c r="A66" s="15" t="str">
        <f>IF($B$7&gt;=46,46,"")</f>
        <v/>
      </c>
      <c r="B66" s="16" t="str">
        <f>IF($B$7&gt;=46,0.0075*$B$5*(1+$B$6)^(46-1),"")</f>
        <v/>
      </c>
      <c r="C66" s="16" t="str">
        <f>IF($B$7&gt;=46,SUM($B$21:B66)-$B$8,"")</f>
        <v/>
      </c>
      <c r="D66" s="16" t="str">
        <f>IF($B$7&gt;=46,0.0075*$B$5*46*(1+$B$6)^(46-1)-$B$8*(1+$B$6)^(46-1),"")</f>
        <v/>
      </c>
      <c r="E66" s="17" t="str">
        <f>IF($B$7&gt;=46,$B$5*(1+$B$6)^46,"")</f>
        <v/>
      </c>
      <c r="F66" s="17" t="str">
        <f>IF($B$7&gt;=46,(3/12)*$B$5*(1+$B$6)^(46-1),"")</f>
        <v/>
      </c>
      <c r="G66" s="17" t="str">
        <f>IF($B$7&gt;=46,(9/12)*$B$5*(1+$B$6)^46,"")</f>
        <v/>
      </c>
      <c r="H66" s="17" t="str">
        <f>IF($B$7&gt;=46,F66+G66,"")</f>
        <v/>
      </c>
      <c r="I66" s="17" t="str">
        <f>IF($B$7&gt;=46,$B$8*(1+$B$6)^(46-1),"")</f>
        <v/>
      </c>
      <c r="J66" s="17" t="str">
        <f>IF($B$7&gt;=46,0.0075*$B$5*46*(1+$B$6)^(46-1),"")</f>
        <v/>
      </c>
    </row>
    <row r="67" spans="1:10" x14ac:dyDescent="0.2">
      <c r="A67" s="15" t="str">
        <f>IF($B$7&gt;=47,47,"")</f>
        <v/>
      </c>
      <c r="B67" s="16" t="str">
        <f>IF($B$7&gt;=47,0.0075*$B$5*(1+$B$6)^(47-1),"")</f>
        <v/>
      </c>
      <c r="C67" s="16" t="str">
        <f>IF($B$7&gt;=47,SUM($B$21:B67)-$B$8,"")</f>
        <v/>
      </c>
      <c r="D67" s="16" t="str">
        <f>IF($B$7&gt;=47,0.0075*$B$5*47*(1+$B$6)^(47-1)-$B$8*(1+$B$6)^(47-1),"")</f>
        <v/>
      </c>
      <c r="E67" s="17" t="str">
        <f>IF($B$7&gt;=47,$B$5*(1+$B$6)^47,"")</f>
        <v/>
      </c>
      <c r="F67" s="17" t="str">
        <f>IF($B$7&gt;=47,(3/12)*$B$5*(1+$B$6)^(47-1),"")</f>
        <v/>
      </c>
      <c r="G67" s="17" t="str">
        <f>IF($B$7&gt;=47,(9/12)*$B$5*(1+$B$6)^47,"")</f>
        <v/>
      </c>
      <c r="H67" s="17" t="str">
        <f>IF($B$7&gt;=47,F67+G67,"")</f>
        <v/>
      </c>
      <c r="I67" s="17" t="str">
        <f>IF($B$7&gt;=47,$B$8*(1+$B$6)^(47-1),"")</f>
        <v/>
      </c>
      <c r="J67" s="17" t="str">
        <f>IF($B$7&gt;=47,0.0075*$B$5*47*(1+$B$6)^(47-1),"")</f>
        <v/>
      </c>
    </row>
    <row r="68" spans="1:10" x14ac:dyDescent="0.2">
      <c r="A68" s="15" t="str">
        <f>IF($B$7&gt;=48,48,"")</f>
        <v/>
      </c>
      <c r="B68" s="16" t="str">
        <f>IF($B$7&gt;=48,0.0075*$B$5*(1+$B$6)^(48-1),"")</f>
        <v/>
      </c>
      <c r="C68" s="16" t="str">
        <f>IF($B$7&gt;=48,SUM($B$21:B68)-$B$8,"")</f>
        <v/>
      </c>
      <c r="D68" s="16" t="str">
        <f>IF($B$7&gt;=48,0.0075*$B$5*48*(1+$B$6)^(48-1)-$B$8*(1+$B$6)^(48-1),"")</f>
        <v/>
      </c>
      <c r="E68" s="17" t="str">
        <f>IF($B$7&gt;=48,$B$5*(1+$B$6)^48,"")</f>
        <v/>
      </c>
      <c r="F68" s="17" t="str">
        <f>IF($B$7&gt;=48,(3/12)*$B$5*(1+$B$6)^(48-1),"")</f>
        <v/>
      </c>
      <c r="G68" s="17" t="str">
        <f>IF($B$7&gt;=48,(9/12)*$B$5*(1+$B$6)^48,"")</f>
        <v/>
      </c>
      <c r="H68" s="17" t="str">
        <f>IF($B$7&gt;=48,F68+G68,"")</f>
        <v/>
      </c>
      <c r="I68" s="17" t="str">
        <f>IF($B$7&gt;=48,$B$8*(1+$B$6)^(48-1),"")</f>
        <v/>
      </c>
      <c r="J68" s="17" t="str">
        <f>IF($B$7&gt;=48,0.0075*$B$5*48*(1+$B$6)^(48-1),"")</f>
        <v/>
      </c>
    </row>
    <row r="69" spans="1:10" x14ac:dyDescent="0.2">
      <c r="A69" s="15" t="str">
        <f>IF($B$7&gt;=49,49,"")</f>
        <v/>
      </c>
      <c r="B69" s="16" t="str">
        <f>IF($B$7&gt;=49,0.0075*$B$5*(1+$B$6)^(49-1),"")</f>
        <v/>
      </c>
      <c r="C69" s="16" t="str">
        <f>IF($B$7&gt;=49,SUM($B$21:B69)-$B$8,"")</f>
        <v/>
      </c>
      <c r="D69" s="16" t="str">
        <f>IF($B$7&gt;=49,0.0075*$B$5*49*(1+$B$6)^(49-1)-$B$8*(1+$B$6)^(49-1),"")</f>
        <v/>
      </c>
      <c r="E69" s="17" t="str">
        <f>IF($B$7&gt;=49,$B$5*(1+$B$6)^49,"")</f>
        <v/>
      </c>
      <c r="F69" s="17" t="str">
        <f>IF($B$7&gt;=49,(3/12)*$B$5*(1+$B$6)^(49-1),"")</f>
        <v/>
      </c>
      <c r="G69" s="17" t="str">
        <f>IF($B$7&gt;=49,(9/12)*$B$5*(1+$B$6)^49,"")</f>
        <v/>
      </c>
      <c r="H69" s="17" t="str">
        <f>IF($B$7&gt;=49,F69+G69,"")</f>
        <v/>
      </c>
      <c r="I69" s="17" t="str">
        <f>IF($B$7&gt;=49,$B$8*(1+$B$6)^(49-1),"")</f>
        <v/>
      </c>
      <c r="J69" s="17" t="str">
        <f>IF($B$7&gt;=49,0.0075*$B$5*49*(1+$B$6)^(49-1),"")</f>
        <v/>
      </c>
    </row>
    <row r="70" spans="1:10" x14ac:dyDescent="0.2">
      <c r="A70" s="15" t="str">
        <f>IF($B$7&gt;=50,50,"")</f>
        <v/>
      </c>
      <c r="B70" s="16" t="str">
        <f>IF($B$7&gt;=50,0.0075*$B$5*(1+$B$6)^(50-1),"")</f>
        <v/>
      </c>
      <c r="C70" s="16" t="str">
        <f>IF($B$7&gt;=50,SUM($B$21:B70)-$B$8,"")</f>
        <v/>
      </c>
      <c r="D70" s="16" t="str">
        <f>IF($B$7&gt;=50,0.0075*$B$5*50*(1+$B$6)^(50-1)-$B$8*(1+$B$6)^(50-1),"")</f>
        <v/>
      </c>
      <c r="E70" s="17" t="str">
        <f>IF($B$7&gt;=50,$B$5*(1+$B$6)^50,"")</f>
        <v/>
      </c>
      <c r="F70" s="17" t="str">
        <f>IF($B$7&gt;=50,(3/12)*$B$5*(1+$B$6)^(50-1),"")</f>
        <v/>
      </c>
      <c r="G70" s="17" t="str">
        <f>IF($B$7&gt;=50,(9/12)*$B$5*(1+$B$6)^50,"")</f>
        <v/>
      </c>
      <c r="H70" s="17" t="str">
        <f>IF($B$7&gt;=50,F70+G70,"")</f>
        <v/>
      </c>
      <c r="I70" s="17" t="str">
        <f>IF($B$7&gt;=50,$B$8*(1+$B$6)^(50-1),"")</f>
        <v/>
      </c>
      <c r="J70" s="17" t="str">
        <f>IF($B$7&gt;=50,0.0075*$B$5*50*(1+$B$6)^(50-1),"")</f>
        <v/>
      </c>
    </row>
    <row r="71" spans="1:10" x14ac:dyDescent="0.2">
      <c r="A71" s="15" t="str">
        <f>IF($B$7&gt;=51,51,"")</f>
        <v/>
      </c>
      <c r="B71" s="16" t="str">
        <f>IF($B$7&gt;=51,0.0075*$B$5*(1+$B$6)^(51-1),"")</f>
        <v/>
      </c>
      <c r="C71" s="16" t="str">
        <f>IF($B$7&gt;=51,SUM($B$21:B71)-$B$8,"")</f>
        <v/>
      </c>
      <c r="D71" s="16" t="str">
        <f>IF($B$7&gt;=51,0.0075*$B$5*51*(1+$B$6)^(51-1)-$B$8*(1+$B$6)^(51-1),"")</f>
        <v/>
      </c>
      <c r="E71" s="17" t="str">
        <f>IF($B$7&gt;=51,$B$5*(1+$B$6)^51,"")</f>
        <v/>
      </c>
      <c r="F71" s="17" t="str">
        <f>IF($B$7&gt;=51,(3/12)*$B$5*(1+$B$6)^(51-1),"")</f>
        <v/>
      </c>
      <c r="G71" s="17" t="str">
        <f>IF($B$7&gt;=51,(9/12)*$B$5*(1+$B$6)^51,"")</f>
        <v/>
      </c>
      <c r="H71" s="17" t="str">
        <f>IF($B$7&gt;=51,F71+G71,"")</f>
        <v/>
      </c>
      <c r="I71" s="17" t="str">
        <f>IF($B$7&gt;=51,$B$8*(1+$B$6)^(51-1),"")</f>
        <v/>
      </c>
      <c r="J71" s="17" t="str">
        <f>IF($B$7&gt;=51,0.0075*$B$5*51*(1+$B$6)^(51-1),"")</f>
        <v/>
      </c>
    </row>
    <row r="72" spans="1:10" x14ac:dyDescent="0.2">
      <c r="A72" s="15" t="str">
        <f>IF($B$7&gt;=52,52,"")</f>
        <v/>
      </c>
      <c r="B72" s="16" t="str">
        <f>IF($B$7&gt;=52,0.0075*$B$5*(1+$B$6)^(52-1),"")</f>
        <v/>
      </c>
      <c r="C72" s="16" t="str">
        <f>IF($B$7&gt;=52,SUM($B$21:B72)-$B$8,"")</f>
        <v/>
      </c>
      <c r="D72" s="16" t="str">
        <f>IF($B$7&gt;=52,0.0075*$B$5*52*(1+$B$6)^(52-1)-$B$8*(1+$B$6)^(52-1),"")</f>
        <v/>
      </c>
      <c r="E72" s="17" t="str">
        <f>IF($B$7&gt;=52,$B$5*(1+$B$6)^52,"")</f>
        <v/>
      </c>
      <c r="F72" s="17" t="str">
        <f>IF($B$7&gt;=52,(3/12)*$B$5*(1+$B$6)^(52-1),"")</f>
        <v/>
      </c>
      <c r="G72" s="17" t="str">
        <f>IF($B$7&gt;=52,(9/12)*$B$5*(1+$B$6)^52,"")</f>
        <v/>
      </c>
      <c r="H72" s="17" t="str">
        <f>IF($B$7&gt;=52,F72+G72,"")</f>
        <v/>
      </c>
      <c r="I72" s="17" t="str">
        <f>IF($B$7&gt;=52,$B$8*(1+$B$6)^(52-1),"")</f>
        <v/>
      </c>
      <c r="J72" s="17" t="str">
        <f>IF($B$7&gt;=52,0.0075*$B$5*52*(1+$B$6)^(52-1),"")</f>
        <v/>
      </c>
    </row>
    <row r="73" spans="1:10" x14ac:dyDescent="0.2">
      <c r="A73" s="15" t="str">
        <f>IF($B$7&gt;=53,53,"")</f>
        <v/>
      </c>
      <c r="B73" s="16" t="str">
        <f>IF($B$7&gt;=53,0.0075*$B$5*(1+$B$6)^(53-1),"")</f>
        <v/>
      </c>
      <c r="C73" s="16" t="str">
        <f>IF($B$7&gt;=53,SUM($B$21:B73)-$B$8,"")</f>
        <v/>
      </c>
      <c r="D73" s="16" t="str">
        <f>IF($B$7&gt;=53,0.0075*$B$5*53*(1+$B$6)^(53-1)-$B$8*(1+$B$6)^(53-1),"")</f>
        <v/>
      </c>
      <c r="E73" s="17" t="str">
        <f>IF($B$7&gt;=53,$B$5*(1+$B$6)^53,"")</f>
        <v/>
      </c>
      <c r="F73" s="17" t="str">
        <f>IF($B$7&gt;=53,(3/12)*$B$5*(1+$B$6)^(53-1),"")</f>
        <v/>
      </c>
      <c r="G73" s="17" t="str">
        <f>IF($B$7&gt;=53,(9/12)*$B$5*(1+$B$6)^53,"")</f>
        <v/>
      </c>
      <c r="H73" s="17" t="str">
        <f>IF($B$7&gt;=53,F73+G73,"")</f>
        <v/>
      </c>
      <c r="I73" s="17" t="str">
        <f>IF($B$7&gt;=53,$B$8*(1+$B$6)^(53-1),"")</f>
        <v/>
      </c>
      <c r="J73" s="17" t="str">
        <f>IF($B$7&gt;=53,0.0075*$B$5*53*(1+$B$6)^(53-1),"")</f>
        <v/>
      </c>
    </row>
    <row r="74" spans="1:10" x14ac:dyDescent="0.2">
      <c r="A74" s="15" t="str">
        <f>IF($B$7&gt;=54,54,"")</f>
        <v/>
      </c>
      <c r="B74" s="16" t="str">
        <f>IF($B$7&gt;=54,0.0075*$B$5*(1+$B$6)^(54-1),"")</f>
        <v/>
      </c>
      <c r="C74" s="16" t="str">
        <f>IF($B$7&gt;=54,SUM($B$21:B74)-$B$8,"")</f>
        <v/>
      </c>
      <c r="D74" s="16" t="str">
        <f>IF($B$7&gt;=54,0.0075*$B$5*54*(1+$B$6)^(54-1)-$B$8*(1+$B$6)^(54-1),"")</f>
        <v/>
      </c>
      <c r="E74" s="17" t="str">
        <f>IF($B$7&gt;=54,$B$5*(1+$B$6)^54,"")</f>
        <v/>
      </c>
      <c r="F74" s="17" t="str">
        <f>IF($B$7&gt;=54,(3/12)*$B$5*(1+$B$6)^(54-1),"")</f>
        <v/>
      </c>
      <c r="G74" s="17" t="str">
        <f>IF($B$7&gt;=54,(9/12)*$B$5*(1+$B$6)^54,"")</f>
        <v/>
      </c>
      <c r="H74" s="17" t="str">
        <f>IF($B$7&gt;=54,F74+G74,"")</f>
        <v/>
      </c>
      <c r="I74" s="17" t="str">
        <f>IF($B$7&gt;=54,$B$8*(1+$B$6)^(54-1),"")</f>
        <v/>
      </c>
      <c r="J74" s="17" t="str">
        <f>IF($B$7&gt;=54,0.0075*$B$5*54*(1+$B$6)^(54-1),"")</f>
        <v/>
      </c>
    </row>
    <row r="75" spans="1:10" x14ac:dyDescent="0.2">
      <c r="A75" s="15" t="str">
        <f>IF($B$7&gt;=55,55,"")</f>
        <v/>
      </c>
      <c r="B75" s="16" t="str">
        <f>IF($B$7&gt;=55,0.0075*$B$5*(1+$B$6)^(55-1),"")</f>
        <v/>
      </c>
      <c r="C75" s="16" t="str">
        <f>IF($B$7&gt;=55,SUM($B$21:B75)-$B$8,"")</f>
        <v/>
      </c>
      <c r="D75" s="16" t="str">
        <f>IF($B$7&gt;=55,0.0075*$B$5*55*(1+$B$6)^(55-1)-$B$8*(1+$B$6)^(55-1),"")</f>
        <v/>
      </c>
      <c r="E75" s="17" t="str">
        <f>IF($B$7&gt;=55,$B$5*(1+$B$6)^55,"")</f>
        <v/>
      </c>
      <c r="F75" s="17" t="str">
        <f>IF($B$7&gt;=55,(3/12)*$B$5*(1+$B$6)^(55-1),"")</f>
        <v/>
      </c>
      <c r="G75" s="17" t="str">
        <f>IF($B$7&gt;=55,(9/12)*$B$5*(1+$B$6)^55,"")</f>
        <v/>
      </c>
      <c r="H75" s="17" t="str">
        <f>IF($B$7&gt;=55,F75+G75,"")</f>
        <v/>
      </c>
      <c r="I75" s="17" t="str">
        <f>IF($B$7&gt;=55,$B$8*(1+$B$6)^(55-1),"")</f>
        <v/>
      </c>
      <c r="J75" s="17" t="str">
        <f>IF($B$7&gt;=55,0.0075*$B$5*55*(1+$B$6)^(55-1),"")</f>
        <v/>
      </c>
    </row>
    <row r="76" spans="1:10" x14ac:dyDescent="0.2">
      <c r="A76" s="15" t="str">
        <f>IF($B$7&gt;=56,56,"")</f>
        <v/>
      </c>
      <c r="B76" s="16" t="str">
        <f>IF($B$7&gt;=56,0.0075*$B$5*(1+$B$6)^(56-1),"")</f>
        <v/>
      </c>
      <c r="C76" s="16" t="str">
        <f>IF($B$7&gt;=56,SUM($B$21:B76)-$B$8,"")</f>
        <v/>
      </c>
      <c r="D76" s="16" t="str">
        <f>IF($B$7&gt;=56,0.0075*$B$5*56*(1+$B$6)^(56-1)-$B$8*(1+$B$6)^(56-1),"")</f>
        <v/>
      </c>
      <c r="E76" s="17" t="str">
        <f>IF($B$7&gt;=56,$B$5*(1+$B$6)^56,"")</f>
        <v/>
      </c>
      <c r="F76" s="17" t="str">
        <f>IF($B$7&gt;=56,(3/12)*$B$5*(1+$B$6)^(56-1),"")</f>
        <v/>
      </c>
      <c r="G76" s="17" t="str">
        <f>IF($B$7&gt;=56,(9/12)*$B$5*(1+$B$6)^56,"")</f>
        <v/>
      </c>
      <c r="H76" s="17" t="str">
        <f>IF($B$7&gt;=56,F76+G76,"")</f>
        <v/>
      </c>
      <c r="I76" s="17" t="str">
        <f>IF($B$7&gt;=56,$B$8*(1+$B$6)^(56-1),"")</f>
        <v/>
      </c>
      <c r="J76" s="17" t="str">
        <f>IF($B$7&gt;=56,0.0075*$B$5*56*(1+$B$6)^(56-1),"")</f>
        <v/>
      </c>
    </row>
    <row r="77" spans="1:10" x14ac:dyDescent="0.2">
      <c r="A77" s="15" t="str">
        <f>IF($B$7&gt;=57,57,"")</f>
        <v/>
      </c>
      <c r="B77" s="16" t="str">
        <f>IF($B$7&gt;=57,0.0075*$B$5*(1+$B$6)^(57-1),"")</f>
        <v/>
      </c>
      <c r="C77" s="16" t="str">
        <f>IF($B$7&gt;=57,SUM($B$21:B77)-$B$8,"")</f>
        <v/>
      </c>
      <c r="D77" s="16" t="str">
        <f>IF($B$7&gt;=57,0.0075*$B$5*57*(1+$B$6)^(57-1)-$B$8*(1+$B$6)^(57-1),"")</f>
        <v/>
      </c>
      <c r="E77" s="17" t="str">
        <f>IF($B$7&gt;=57,$B$5*(1+$B$6)^57,"")</f>
        <v/>
      </c>
      <c r="F77" s="17" t="str">
        <f>IF($B$7&gt;=57,(3/12)*$B$5*(1+$B$6)^(57-1),"")</f>
        <v/>
      </c>
      <c r="G77" s="17" t="str">
        <f>IF($B$7&gt;=57,(9/12)*$B$5*(1+$B$6)^57,"")</f>
        <v/>
      </c>
      <c r="H77" s="17" t="str">
        <f>IF($B$7&gt;=57,F77+G77,"")</f>
        <v/>
      </c>
      <c r="I77" s="17" t="str">
        <f>IF($B$7&gt;=57,$B$8*(1+$B$6)^(57-1),"")</f>
        <v/>
      </c>
      <c r="J77" s="17" t="str">
        <f>IF($B$7&gt;=57,0.0075*$B$5*57*(1+$B$6)^(57-1),"")</f>
        <v/>
      </c>
    </row>
    <row r="78" spans="1:10" x14ac:dyDescent="0.2">
      <c r="A78" s="15" t="str">
        <f>IF($B$7&gt;=58,58,"")</f>
        <v/>
      </c>
      <c r="B78" s="16" t="str">
        <f>IF($B$7&gt;=58,0.0075*$B$5*(1+$B$6)^(58-1),"")</f>
        <v/>
      </c>
      <c r="C78" s="16" t="str">
        <f>IF($B$7&gt;=58,SUM($B$21:B78)-$B$8,"")</f>
        <v/>
      </c>
      <c r="D78" s="16" t="str">
        <f>IF($B$7&gt;=58,0.0075*$B$5*58*(1+$B$6)^(58-1)-$B$8*(1+$B$6)^(58-1),"")</f>
        <v/>
      </c>
      <c r="E78" s="17" t="str">
        <f>IF($B$7&gt;=58,$B$5*(1+$B$6)^58,"")</f>
        <v/>
      </c>
      <c r="F78" s="17" t="str">
        <f>IF($B$7&gt;=58,(3/12)*$B$5*(1+$B$6)^(58-1),"")</f>
        <v/>
      </c>
      <c r="G78" s="17" t="str">
        <f>IF($B$7&gt;=58,(9/12)*$B$5*(1+$B$6)^58,"")</f>
        <v/>
      </c>
      <c r="H78" s="17" t="str">
        <f>IF($B$7&gt;=58,F78+G78,"")</f>
        <v/>
      </c>
      <c r="I78" s="17" t="str">
        <f>IF($B$7&gt;=58,$B$8*(1+$B$6)^(58-1),"")</f>
        <v/>
      </c>
      <c r="J78" s="17" t="str">
        <f>IF($B$7&gt;=58,0.0075*$B$5*58*(1+$B$6)^(58-1),"")</f>
        <v/>
      </c>
    </row>
    <row r="79" spans="1:10" x14ac:dyDescent="0.2">
      <c r="A79" s="15" t="str">
        <f>IF($B$7&gt;=59,59,"")</f>
        <v/>
      </c>
      <c r="B79" s="16" t="str">
        <f>IF($B$7&gt;=59,0.0075*$B$5*(1+$B$6)^(59-1),"")</f>
        <v/>
      </c>
      <c r="C79" s="16" t="str">
        <f>IF($B$7&gt;=59,SUM($B$21:B79)-$B$8,"")</f>
        <v/>
      </c>
      <c r="D79" s="16" t="str">
        <f>IF($B$7&gt;=59,0.0075*$B$5*59*(1+$B$6)^(59-1)-$B$8*(1+$B$6)^(59-1),"")</f>
        <v/>
      </c>
      <c r="E79" s="17" t="str">
        <f>IF($B$7&gt;=59,$B$5*(1+$B$6)^59,"")</f>
        <v/>
      </c>
      <c r="F79" s="17" t="str">
        <f>IF($B$7&gt;=59,(3/12)*$B$5*(1+$B$6)^(59-1),"")</f>
        <v/>
      </c>
      <c r="G79" s="17" t="str">
        <f>IF($B$7&gt;=59,(9/12)*$B$5*(1+$B$6)^59,"")</f>
        <v/>
      </c>
      <c r="H79" s="17" t="str">
        <f>IF($B$7&gt;=59,F79+G79,"")</f>
        <v/>
      </c>
      <c r="I79" s="17" t="str">
        <f>IF($B$7&gt;=59,$B$8*(1+$B$6)^(59-1),"")</f>
        <v/>
      </c>
      <c r="J79" s="17" t="str">
        <f>IF($B$7&gt;=59,0.0075*$B$5*59*(1+$B$6)^(59-1),"")</f>
        <v/>
      </c>
    </row>
    <row r="80" spans="1:10" x14ac:dyDescent="0.2">
      <c r="A80" s="15" t="str">
        <f>IF($B$7&gt;=60,60,"")</f>
        <v/>
      </c>
      <c r="B80" s="16" t="str">
        <f>IF($B$7&gt;=60,0.0075*$B$5*(1+$B$6)^(60-1),"")</f>
        <v/>
      </c>
      <c r="C80" s="16" t="str">
        <f>IF($B$7&gt;=60,SUM($B$21:B80)-$B$8,"")</f>
        <v/>
      </c>
      <c r="D80" s="16" t="str">
        <f>IF($B$7&gt;=60,0.0075*$B$5*60*(1+$B$6)^(60-1)-$B$8*(1+$B$6)^(60-1),"")</f>
        <v/>
      </c>
      <c r="E80" s="17" t="str">
        <f>IF($B$7&gt;=60,$B$5*(1+$B$6)^60,"")</f>
        <v/>
      </c>
      <c r="F80" s="17" t="str">
        <f>IF($B$7&gt;=60,(3/12)*$B$5*(1+$B$6)^(60-1),"")</f>
        <v/>
      </c>
      <c r="G80" s="17" t="str">
        <f>IF($B$7&gt;=60,(9/12)*$B$5*(1+$B$6)^60,"")</f>
        <v/>
      </c>
      <c r="H80" s="17" t="str">
        <f>IF($B$7&gt;=60,F80+G80,"")</f>
        <v/>
      </c>
      <c r="I80" s="17" t="str">
        <f>IF($B$7&gt;=60,$B$8*(1+$B$6)^(60-1),"")</f>
        <v/>
      </c>
      <c r="J80" s="17" t="str">
        <f>IF($B$7&gt;=60,0.0075*$B$5*60*(1+$B$6)^(60-1),"")</f>
        <v/>
      </c>
    </row>
  </sheetData>
  <mergeCells count="9">
    <mergeCell ref="A13:E13"/>
    <mergeCell ref="A16:E16"/>
    <mergeCell ref="A18:D18"/>
    <mergeCell ref="A19:E19"/>
    <mergeCell ref="A1:D1"/>
    <mergeCell ref="A2:E2"/>
    <mergeCell ref="A4:B4"/>
    <mergeCell ref="A9:E9"/>
    <mergeCell ref="A11:B1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/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Calculadora</vt:lpstr>
    </vt:vector>
  </TitlesOfParts>
  <LinksUpToDate>false</LinksUpToDate>
  <SharedDoc>false</SharedDoc>
  <HyperlinksChanged>false</HyperlinksChanged>
  <AppVers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/>
  <dcterms:created xsi:type="dcterms:W3CDTF"/>
  <dcterms:modified xsi:type="dcterms:W3CDTF"/>
  <dc:language>en-US</dc:language>
</cp:coreProperties>
</file>