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alia\Downloads\"/>
    </mc:Choice>
  </mc:AlternateContent>
  <bookViews>
    <workbookView xWindow="0" yWindow="0" windowWidth="28800" windowHeight="11730" tabRatio="500"/>
  </bookViews>
  <sheets>
    <sheet name="Calculadora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80" i="1" l="1"/>
  <c r="J80" i="1"/>
  <c r="I80" i="1"/>
  <c r="H80" i="1"/>
  <c r="G80" i="1"/>
  <c r="F80" i="1"/>
  <c r="E80" i="1"/>
  <c r="D80" i="1"/>
  <c r="C80" i="1"/>
  <c r="B80" i="1"/>
  <c r="A80" i="1"/>
  <c r="K79" i="1"/>
  <c r="J79" i="1"/>
  <c r="I79" i="1"/>
  <c r="H79" i="1"/>
  <c r="G79" i="1"/>
  <c r="F79" i="1"/>
  <c r="E79" i="1"/>
  <c r="D79" i="1"/>
  <c r="C79" i="1"/>
  <c r="B79" i="1"/>
  <c r="A79" i="1"/>
  <c r="K78" i="1"/>
  <c r="J78" i="1"/>
  <c r="I78" i="1"/>
  <c r="H78" i="1"/>
  <c r="G78" i="1"/>
  <c r="F78" i="1"/>
  <c r="E78" i="1"/>
  <c r="D78" i="1"/>
  <c r="C78" i="1"/>
  <c r="B78" i="1"/>
  <c r="A78" i="1"/>
  <c r="K77" i="1"/>
  <c r="J77" i="1"/>
  <c r="I77" i="1"/>
  <c r="H77" i="1"/>
  <c r="G77" i="1"/>
  <c r="F77" i="1"/>
  <c r="E77" i="1"/>
  <c r="D77" i="1"/>
  <c r="C77" i="1"/>
  <c r="B77" i="1"/>
  <c r="A77" i="1"/>
  <c r="K76" i="1"/>
  <c r="J76" i="1"/>
  <c r="I76" i="1"/>
  <c r="H76" i="1"/>
  <c r="G76" i="1"/>
  <c r="F76" i="1"/>
  <c r="E76" i="1"/>
  <c r="D76" i="1"/>
  <c r="C76" i="1"/>
  <c r="B76" i="1"/>
  <c r="A76" i="1"/>
  <c r="K75" i="1"/>
  <c r="J75" i="1"/>
  <c r="I75" i="1"/>
  <c r="H75" i="1"/>
  <c r="G75" i="1"/>
  <c r="F75" i="1"/>
  <c r="E75" i="1"/>
  <c r="D75" i="1"/>
  <c r="C75" i="1"/>
  <c r="B75" i="1"/>
  <c r="A75" i="1"/>
  <c r="K74" i="1"/>
  <c r="J74" i="1"/>
  <c r="I74" i="1"/>
  <c r="H74" i="1"/>
  <c r="G74" i="1"/>
  <c r="F74" i="1"/>
  <c r="E74" i="1"/>
  <c r="D74" i="1"/>
  <c r="C74" i="1"/>
  <c r="B74" i="1"/>
  <c r="A74" i="1"/>
  <c r="K73" i="1"/>
  <c r="J73" i="1"/>
  <c r="I73" i="1"/>
  <c r="H73" i="1"/>
  <c r="G73" i="1"/>
  <c r="F73" i="1"/>
  <c r="E73" i="1"/>
  <c r="D73" i="1"/>
  <c r="C73" i="1"/>
  <c r="B73" i="1"/>
  <c r="A73" i="1"/>
  <c r="K72" i="1"/>
  <c r="J72" i="1"/>
  <c r="I72" i="1"/>
  <c r="H72" i="1"/>
  <c r="G72" i="1"/>
  <c r="F72" i="1"/>
  <c r="E72" i="1"/>
  <c r="D72" i="1"/>
  <c r="C72" i="1"/>
  <c r="B72" i="1"/>
  <c r="A72" i="1"/>
  <c r="K71" i="1"/>
  <c r="J71" i="1"/>
  <c r="I71" i="1"/>
  <c r="H71" i="1"/>
  <c r="G71" i="1"/>
  <c r="F71" i="1"/>
  <c r="E71" i="1"/>
  <c r="D71" i="1"/>
  <c r="C71" i="1"/>
  <c r="B71" i="1"/>
  <c r="A71" i="1"/>
  <c r="K70" i="1"/>
  <c r="J70" i="1"/>
  <c r="I70" i="1"/>
  <c r="H70" i="1"/>
  <c r="G70" i="1"/>
  <c r="F70" i="1"/>
  <c r="E70" i="1"/>
  <c r="D70" i="1"/>
  <c r="C70" i="1"/>
  <c r="B70" i="1"/>
  <c r="A70" i="1"/>
  <c r="K69" i="1"/>
  <c r="J69" i="1"/>
  <c r="I69" i="1"/>
  <c r="H69" i="1"/>
  <c r="G69" i="1"/>
  <c r="F69" i="1"/>
  <c r="E69" i="1"/>
  <c r="D69" i="1"/>
  <c r="C69" i="1"/>
  <c r="B69" i="1"/>
  <c r="A69" i="1"/>
  <c r="K68" i="1"/>
  <c r="J68" i="1"/>
  <c r="I68" i="1"/>
  <c r="H68" i="1"/>
  <c r="G68" i="1"/>
  <c r="F68" i="1"/>
  <c r="E68" i="1"/>
  <c r="D68" i="1"/>
  <c r="C68" i="1"/>
  <c r="B68" i="1"/>
  <c r="A68" i="1"/>
  <c r="K67" i="1"/>
  <c r="J67" i="1"/>
  <c r="I67" i="1"/>
  <c r="H67" i="1"/>
  <c r="G67" i="1"/>
  <c r="F67" i="1"/>
  <c r="E67" i="1"/>
  <c r="D67" i="1"/>
  <c r="C67" i="1"/>
  <c r="B67" i="1"/>
  <c r="A67" i="1"/>
  <c r="K66" i="1"/>
  <c r="J66" i="1"/>
  <c r="I66" i="1"/>
  <c r="H66" i="1"/>
  <c r="G66" i="1"/>
  <c r="F66" i="1"/>
  <c r="E66" i="1"/>
  <c r="D66" i="1"/>
  <c r="C66" i="1"/>
  <c r="B66" i="1"/>
  <c r="A66" i="1"/>
  <c r="K65" i="1"/>
  <c r="J65" i="1"/>
  <c r="I65" i="1"/>
  <c r="H65" i="1"/>
  <c r="G65" i="1"/>
  <c r="F65" i="1"/>
  <c r="E65" i="1"/>
  <c r="D65" i="1"/>
  <c r="C65" i="1"/>
  <c r="B65" i="1"/>
  <c r="A65" i="1"/>
  <c r="K64" i="1"/>
  <c r="J64" i="1"/>
  <c r="I64" i="1"/>
  <c r="H64" i="1"/>
  <c r="G64" i="1"/>
  <c r="F64" i="1"/>
  <c r="E64" i="1"/>
  <c r="D64" i="1"/>
  <c r="C64" i="1"/>
  <c r="B64" i="1"/>
  <c r="A64" i="1"/>
  <c r="K63" i="1"/>
  <c r="J63" i="1"/>
  <c r="I63" i="1"/>
  <c r="H63" i="1"/>
  <c r="G63" i="1"/>
  <c r="F63" i="1"/>
  <c r="E63" i="1"/>
  <c r="D63" i="1"/>
  <c r="C63" i="1"/>
  <c r="B63" i="1"/>
  <c r="A63" i="1"/>
  <c r="K62" i="1"/>
  <c r="J62" i="1"/>
  <c r="H62" i="1"/>
  <c r="G62" i="1"/>
  <c r="I62" i="1" s="1"/>
  <c r="F62" i="1"/>
  <c r="E62" i="1"/>
  <c r="C62" i="1"/>
  <c r="B62" i="1"/>
  <c r="A62" i="1"/>
  <c r="K61" i="1"/>
  <c r="J61" i="1"/>
  <c r="H61" i="1"/>
  <c r="I61" i="1" s="1"/>
  <c r="G61" i="1"/>
  <c r="F61" i="1"/>
  <c r="E61" i="1"/>
  <c r="C61" i="1"/>
  <c r="B61" i="1"/>
  <c r="A61" i="1"/>
  <c r="K60" i="1"/>
  <c r="J60" i="1"/>
  <c r="I60" i="1"/>
  <c r="H60" i="1"/>
  <c r="G60" i="1"/>
  <c r="F60" i="1"/>
  <c r="E60" i="1"/>
  <c r="C60" i="1"/>
  <c r="B60" i="1"/>
  <c r="A60" i="1"/>
  <c r="K59" i="1"/>
  <c r="J59" i="1"/>
  <c r="H59" i="1"/>
  <c r="G59" i="1"/>
  <c r="I59" i="1" s="1"/>
  <c r="F59" i="1"/>
  <c r="E59" i="1"/>
  <c r="C59" i="1"/>
  <c r="B59" i="1"/>
  <c r="A59" i="1"/>
  <c r="K58" i="1"/>
  <c r="J58" i="1"/>
  <c r="H58" i="1"/>
  <c r="G58" i="1"/>
  <c r="I58" i="1" s="1"/>
  <c r="F58" i="1"/>
  <c r="E58" i="1"/>
  <c r="C58" i="1"/>
  <c r="B58" i="1"/>
  <c r="A58" i="1"/>
  <c r="K57" i="1"/>
  <c r="J57" i="1"/>
  <c r="H57" i="1"/>
  <c r="G57" i="1"/>
  <c r="I57" i="1" s="1"/>
  <c r="F57" i="1"/>
  <c r="E57" i="1"/>
  <c r="C57" i="1"/>
  <c r="B57" i="1"/>
  <c r="A57" i="1"/>
  <c r="K56" i="1"/>
  <c r="J56" i="1"/>
  <c r="H56" i="1"/>
  <c r="G56" i="1"/>
  <c r="I56" i="1" s="1"/>
  <c r="F56" i="1"/>
  <c r="E56" i="1"/>
  <c r="C56" i="1"/>
  <c r="B56" i="1"/>
  <c r="A56" i="1"/>
  <c r="K55" i="1"/>
  <c r="J55" i="1"/>
  <c r="H55" i="1"/>
  <c r="G55" i="1"/>
  <c r="I55" i="1" s="1"/>
  <c r="F55" i="1"/>
  <c r="E55" i="1"/>
  <c r="C55" i="1"/>
  <c r="B55" i="1"/>
  <c r="A55" i="1"/>
  <c r="K54" i="1"/>
  <c r="J54" i="1"/>
  <c r="H54" i="1"/>
  <c r="I54" i="1" s="1"/>
  <c r="G54" i="1"/>
  <c r="F54" i="1"/>
  <c r="E54" i="1"/>
  <c r="C54" i="1"/>
  <c r="B54" i="1"/>
  <c r="A54" i="1"/>
  <c r="K53" i="1"/>
  <c r="J53" i="1"/>
  <c r="H53" i="1"/>
  <c r="G53" i="1"/>
  <c r="I53" i="1" s="1"/>
  <c r="F53" i="1"/>
  <c r="E53" i="1"/>
  <c r="C53" i="1"/>
  <c r="B53" i="1"/>
  <c r="A53" i="1"/>
  <c r="K52" i="1"/>
  <c r="J52" i="1"/>
  <c r="H52" i="1"/>
  <c r="G52" i="1"/>
  <c r="F52" i="1"/>
  <c r="E52" i="1"/>
  <c r="C52" i="1"/>
  <c r="B52" i="1"/>
  <c r="A52" i="1"/>
  <c r="K51" i="1"/>
  <c r="J51" i="1"/>
  <c r="H51" i="1"/>
  <c r="G51" i="1"/>
  <c r="F51" i="1"/>
  <c r="E51" i="1"/>
  <c r="C51" i="1"/>
  <c r="B51" i="1"/>
  <c r="A51" i="1"/>
  <c r="K50" i="1"/>
  <c r="J50" i="1"/>
  <c r="H50" i="1"/>
  <c r="G50" i="1"/>
  <c r="F50" i="1"/>
  <c r="E50" i="1"/>
  <c r="C50" i="1"/>
  <c r="B50" i="1"/>
  <c r="A50" i="1"/>
  <c r="K49" i="1"/>
  <c r="J49" i="1"/>
  <c r="H49" i="1"/>
  <c r="G49" i="1"/>
  <c r="F49" i="1"/>
  <c r="E49" i="1"/>
  <c r="C49" i="1"/>
  <c r="B49" i="1"/>
  <c r="A49" i="1"/>
  <c r="K48" i="1"/>
  <c r="J48" i="1"/>
  <c r="H48" i="1"/>
  <c r="G48" i="1"/>
  <c r="F48" i="1"/>
  <c r="E48" i="1"/>
  <c r="C48" i="1"/>
  <c r="B48" i="1"/>
  <c r="A48" i="1"/>
  <c r="K47" i="1"/>
  <c r="J47" i="1"/>
  <c r="H47" i="1"/>
  <c r="G47" i="1"/>
  <c r="F47" i="1"/>
  <c r="E47" i="1"/>
  <c r="C47" i="1"/>
  <c r="B47" i="1"/>
  <c r="A47" i="1"/>
  <c r="K46" i="1"/>
  <c r="J46" i="1"/>
  <c r="H46" i="1"/>
  <c r="G46" i="1"/>
  <c r="F46" i="1"/>
  <c r="E46" i="1"/>
  <c r="C46" i="1"/>
  <c r="B46" i="1"/>
  <c r="A46" i="1"/>
  <c r="K45" i="1"/>
  <c r="J45" i="1"/>
  <c r="H45" i="1"/>
  <c r="G45" i="1"/>
  <c r="F45" i="1"/>
  <c r="E45" i="1"/>
  <c r="C45" i="1"/>
  <c r="B45" i="1"/>
  <c r="A45" i="1"/>
  <c r="K44" i="1"/>
  <c r="J44" i="1"/>
  <c r="H44" i="1"/>
  <c r="G44" i="1"/>
  <c r="F44" i="1"/>
  <c r="E44" i="1"/>
  <c r="C44" i="1"/>
  <c r="B44" i="1"/>
  <c r="A44" i="1"/>
  <c r="K43" i="1"/>
  <c r="J43" i="1"/>
  <c r="H43" i="1"/>
  <c r="G43" i="1"/>
  <c r="F43" i="1"/>
  <c r="E43" i="1"/>
  <c r="C43" i="1"/>
  <c r="B43" i="1"/>
  <c r="A43" i="1"/>
  <c r="K42" i="1"/>
  <c r="J42" i="1"/>
  <c r="H42" i="1"/>
  <c r="G42" i="1"/>
  <c r="F42" i="1"/>
  <c r="E42" i="1"/>
  <c r="C42" i="1"/>
  <c r="B42" i="1"/>
  <c r="A42" i="1"/>
  <c r="K41" i="1"/>
  <c r="J41" i="1"/>
  <c r="H41" i="1"/>
  <c r="G41" i="1"/>
  <c r="F41" i="1"/>
  <c r="E41" i="1"/>
  <c r="C41" i="1"/>
  <c r="B41" i="1"/>
  <c r="A41" i="1"/>
  <c r="K40" i="1"/>
  <c r="J40" i="1"/>
  <c r="H40" i="1"/>
  <c r="G40" i="1"/>
  <c r="F40" i="1"/>
  <c r="E40" i="1"/>
  <c r="C40" i="1"/>
  <c r="B40" i="1"/>
  <c r="A40" i="1"/>
  <c r="K39" i="1"/>
  <c r="J39" i="1"/>
  <c r="H39" i="1"/>
  <c r="G39" i="1"/>
  <c r="F39" i="1"/>
  <c r="E39" i="1"/>
  <c r="C39" i="1"/>
  <c r="B39" i="1"/>
  <c r="A39" i="1"/>
  <c r="K38" i="1"/>
  <c r="J38" i="1"/>
  <c r="H38" i="1"/>
  <c r="G38" i="1"/>
  <c r="F38" i="1"/>
  <c r="E38" i="1"/>
  <c r="C38" i="1"/>
  <c r="B38" i="1"/>
  <c r="A38" i="1"/>
  <c r="K37" i="1"/>
  <c r="J37" i="1"/>
  <c r="H37" i="1"/>
  <c r="G37" i="1"/>
  <c r="F37" i="1"/>
  <c r="E37" i="1"/>
  <c r="C37" i="1"/>
  <c r="B37" i="1"/>
  <c r="A37" i="1"/>
  <c r="K36" i="1"/>
  <c r="J36" i="1"/>
  <c r="H36" i="1"/>
  <c r="G36" i="1"/>
  <c r="F36" i="1"/>
  <c r="E36" i="1"/>
  <c r="C36" i="1"/>
  <c r="B36" i="1"/>
  <c r="A36" i="1"/>
  <c r="K35" i="1"/>
  <c r="J35" i="1"/>
  <c r="H35" i="1"/>
  <c r="G35" i="1"/>
  <c r="F35" i="1"/>
  <c r="E35" i="1"/>
  <c r="C35" i="1"/>
  <c r="B35" i="1"/>
  <c r="A35" i="1"/>
  <c r="K34" i="1"/>
  <c r="J34" i="1"/>
  <c r="H34" i="1"/>
  <c r="G34" i="1"/>
  <c r="F34" i="1"/>
  <c r="E34" i="1"/>
  <c r="C34" i="1"/>
  <c r="B34" i="1"/>
  <c r="A34" i="1"/>
  <c r="K33" i="1"/>
  <c r="J33" i="1"/>
  <c r="H33" i="1"/>
  <c r="G33" i="1"/>
  <c r="F33" i="1"/>
  <c r="E33" i="1"/>
  <c r="C33" i="1"/>
  <c r="B33" i="1"/>
  <c r="A33" i="1"/>
  <c r="K32" i="1"/>
  <c r="J32" i="1"/>
  <c r="H32" i="1"/>
  <c r="G32" i="1"/>
  <c r="F32" i="1"/>
  <c r="E32" i="1"/>
  <c r="C32" i="1"/>
  <c r="B32" i="1"/>
  <c r="A32" i="1"/>
  <c r="K31" i="1"/>
  <c r="J31" i="1"/>
  <c r="H31" i="1"/>
  <c r="G31" i="1"/>
  <c r="F31" i="1"/>
  <c r="E31" i="1"/>
  <c r="C31" i="1"/>
  <c r="B31" i="1"/>
  <c r="A31" i="1"/>
  <c r="K30" i="1"/>
  <c r="J30" i="1"/>
  <c r="H30" i="1"/>
  <c r="G30" i="1"/>
  <c r="F30" i="1"/>
  <c r="E30" i="1"/>
  <c r="C30" i="1"/>
  <c r="B30" i="1"/>
  <c r="A30" i="1"/>
  <c r="K29" i="1"/>
  <c r="J29" i="1"/>
  <c r="H29" i="1"/>
  <c r="G29" i="1"/>
  <c r="F29" i="1"/>
  <c r="E29" i="1"/>
  <c r="C29" i="1"/>
  <c r="B29" i="1"/>
  <c r="A29" i="1"/>
  <c r="K28" i="1"/>
  <c r="J28" i="1"/>
  <c r="H28" i="1"/>
  <c r="G28" i="1"/>
  <c r="F28" i="1"/>
  <c r="E28" i="1"/>
  <c r="C28" i="1"/>
  <c r="B28" i="1"/>
  <c r="A28" i="1"/>
  <c r="K27" i="1"/>
  <c r="J27" i="1"/>
  <c r="H27" i="1"/>
  <c r="G27" i="1"/>
  <c r="F27" i="1"/>
  <c r="E27" i="1"/>
  <c r="C27" i="1"/>
  <c r="B27" i="1"/>
  <c r="A27" i="1"/>
  <c r="K26" i="1"/>
  <c r="J26" i="1"/>
  <c r="H26" i="1"/>
  <c r="G26" i="1"/>
  <c r="F26" i="1"/>
  <c r="E26" i="1"/>
  <c r="C26" i="1"/>
  <c r="B26" i="1"/>
  <c r="A26" i="1"/>
  <c r="K25" i="1"/>
  <c r="J25" i="1"/>
  <c r="H25" i="1"/>
  <c r="G25" i="1"/>
  <c r="F25" i="1"/>
  <c r="E25" i="1"/>
  <c r="C25" i="1"/>
  <c r="B25" i="1"/>
  <c r="A25" i="1"/>
  <c r="K24" i="1"/>
  <c r="J24" i="1"/>
  <c r="H24" i="1"/>
  <c r="G24" i="1"/>
  <c r="F24" i="1"/>
  <c r="E24" i="1"/>
  <c r="C24" i="1"/>
  <c r="D59" i="1" s="1"/>
  <c r="B24" i="1"/>
  <c r="A24" i="1"/>
  <c r="K23" i="1"/>
  <c r="J23" i="1"/>
  <c r="H23" i="1"/>
  <c r="G23" i="1"/>
  <c r="F23" i="1"/>
  <c r="E23" i="1"/>
  <c r="C23" i="1"/>
  <c r="B23" i="1"/>
  <c r="A23" i="1"/>
  <c r="K22" i="1"/>
  <c r="J22" i="1"/>
  <c r="H22" i="1"/>
  <c r="G22" i="1"/>
  <c r="F22" i="1"/>
  <c r="E22" i="1"/>
  <c r="C22" i="1"/>
  <c r="B22" i="1"/>
  <c r="A22" i="1"/>
  <c r="K21" i="1"/>
  <c r="J21" i="1"/>
  <c r="H21" i="1"/>
  <c r="G21" i="1"/>
  <c r="F21" i="1"/>
  <c r="E21" i="1"/>
  <c r="C21" i="1"/>
  <c r="D21" i="1" s="1"/>
  <c r="B21" i="1"/>
  <c r="A21" i="1"/>
  <c r="B15" i="1"/>
  <c r="B12" i="1"/>
  <c r="D57" i="1" l="1"/>
  <c r="D62" i="1"/>
  <c r="D60" i="1"/>
  <c r="D58" i="1"/>
  <c r="D61" i="1"/>
  <c r="D56" i="1"/>
  <c r="D54" i="1"/>
  <c r="D55" i="1"/>
  <c r="D53" i="1"/>
  <c r="I27" i="1"/>
  <c r="I44" i="1"/>
  <c r="I52" i="1"/>
  <c r="I34" i="1"/>
  <c r="I42" i="1"/>
  <c r="I22" i="1"/>
  <c r="I28" i="1"/>
  <c r="I25" i="1"/>
  <c r="I21" i="1"/>
  <c r="I30" i="1"/>
  <c r="I46" i="1"/>
  <c r="I32" i="1"/>
  <c r="I41" i="1"/>
  <c r="I24" i="1"/>
  <c r="I31" i="1"/>
  <c r="I39" i="1"/>
  <c r="I40" i="1"/>
  <c r="I35" i="1"/>
  <c r="I43" i="1"/>
  <c r="I50" i="1"/>
  <c r="I36" i="1"/>
  <c r="I51" i="1"/>
  <c r="I29" i="1"/>
  <c r="I45" i="1"/>
  <c r="I23" i="1"/>
  <c r="D35" i="1"/>
  <c r="I47" i="1"/>
  <c r="I48" i="1"/>
  <c r="I26" i="1"/>
  <c r="I49" i="1"/>
  <c r="D45" i="1"/>
  <c r="I37" i="1"/>
  <c r="I33" i="1"/>
  <c r="I38" i="1"/>
  <c r="D43" i="1"/>
  <c r="D24" i="1"/>
  <c r="D32" i="1"/>
  <c r="D40" i="1"/>
  <c r="D48" i="1"/>
  <c r="D27" i="1"/>
  <c r="D22" i="1"/>
  <c r="D30" i="1"/>
  <c r="D38" i="1"/>
  <c r="D46" i="1"/>
  <c r="D51" i="1"/>
  <c r="D25" i="1"/>
  <c r="D33" i="1"/>
  <c r="D41" i="1"/>
  <c r="D49" i="1"/>
  <c r="D28" i="1"/>
  <c r="D36" i="1"/>
  <c r="D44" i="1"/>
  <c r="D52" i="1"/>
  <c r="D23" i="1"/>
  <c r="D31" i="1"/>
  <c r="D39" i="1"/>
  <c r="D47" i="1"/>
  <c r="D26" i="1"/>
  <c r="D34" i="1"/>
  <c r="D42" i="1"/>
  <c r="D50" i="1"/>
  <c r="D29" i="1"/>
  <c r="D37" i="1"/>
</calcChain>
</file>

<file path=xl/sharedStrings.xml><?xml version="1.0" encoding="utf-8"?>
<sst xmlns="http://schemas.openxmlformats.org/spreadsheetml/2006/main" count="25" uniqueCount="25">
  <si>
    <t>Calculadora: Pérdida dinero efecto abril (desde 2028)</t>
  </si>
  <si>
    <t>Sueldo de referencia: 2026. En 2026 y 2027 la subida se sigue aplicando en enero (sin pérdida). A partir de 2028 la subida pasa a abril: enero-marzo se cobra al sueldo del año anterior. Introduce tus datos en las celdas amarillas.</t>
  </si>
  <si>
    <t>DATOS DE ENTRADA</t>
  </si>
  <si>
    <t>Sueldo anual 2026 (€)</t>
  </si>
  <si>
    <t>Subida anual media (%)</t>
  </si>
  <si>
    <t>Años para jubilarse (desde 2026)</t>
  </si>
  <si>
    <t>Paga compensatoria en 2026, no consolidable (€)</t>
  </si>
  <si>
    <t>RESULTADOS</t>
  </si>
  <si>
    <t>Dinero perdido desde 2026 hasta la jubilación, sin invertir (€)</t>
  </si>
  <si>
    <t>25% x Sueldo 2026 x (1+Subida) x [(1+Subida)^(Años-1) - 1]  −  Paga compensatoria. La pérdida empieza a contar en 2028 (año 2), ya que 2026 y 2027 mantienen la subida en enero.</t>
  </si>
  <si>
    <t>(Años-1) x 25% x Subida x Sueldo 2026 x (1+Subida)^(Años-1)  −  Paga x (1+Subida)^Años. Válida cuando la rentabilidad del fondo iguala la subida salarial; cada pérdida anual (a partir de 2028) se invierte de inmediato y se revaloriza hasta la jubilación; la paga se revaloriza desde 2026.</t>
  </si>
  <si>
    <t>DETALLE AÑO A AÑO</t>
  </si>
  <si>
    <t>Muestra los resultados como si te jubilaras cada uno de esos años (hasta el valor introducido en "Años para jubilarse"). La tabla admite hasta 60 años. Las columnas F-K justifican cómo se calculan C, D y E: sueldo de referencia y sueldo real ese año, y cómo se revalorizan la paga compensatoria y lo dejado de ganar.</t>
  </si>
  <si>
    <t>Año (nº)</t>
  </si>
  <si>
    <t>Año
calendario</t>
  </si>
  <si>
    <t>Pérdida anual (€)</t>
  </si>
  <si>
    <t>Pérdida acumulada
sin invertir (€)</t>
  </si>
  <si>
    <t>Pérdida acumulada
si se invierte (€)</t>
  </si>
  <si>
    <t>Sueldo anual
sin efecto abril (€)</t>
  </si>
  <si>
    <t>Sueldo real
ene-mar, 3 meses (€)</t>
  </si>
  <si>
    <t>Sueldo real
abr-dic, 9 meses (€)</t>
  </si>
  <si>
    <t>Sueldo real
anual total (€)</t>
  </si>
  <si>
    <t>Paga compensatoria
revalorizada (€)</t>
  </si>
  <si>
    <t>Pérdida acumulada
bruta si se invierte,
antes de paga (€)</t>
  </si>
  <si>
    <t>Dinero perdido desde 2026 hasta la jubilación si se invierte cada año tanto la paga como lo dejado de ganar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</si>
</sst>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\ _€_-;\-* #,##0\ _€_-;_-* &quot;-&quot;\ _€_-;_-@_-"/>
    <numFmt numFmtId="164" formatCode="#,##0.00&quot; €&quot;;\(#,##0.00&quot;) €&quot;;&quot;-€&quot;"/>
    <numFmt numFmtId="165" formatCode="0.0%"/>
    <numFmt numFmtId="166" formatCode="#,##0&quot; €&quot;;\(#,##0&quot;) €&quot;;&quot;-€&quot;"/>
  </numFmts>
  <fonts count="12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0"/>
      <color rgb="FF555555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b/>
      <sz val="11"/>
      <color rgb="FF0000FF"/>
      <name val="Arial"/>
      <charset val="1"/>
    </font>
    <font>
      <i/>
      <sz val="9"/>
      <color rgb="FF777777"/>
      <name val="Arial"/>
      <charset val="1"/>
    </font>
    <font>
      <b/>
      <sz val="11"/>
      <name val="Arial"/>
      <charset val="1"/>
    </font>
    <font>
      <b/>
      <sz val="13"/>
      <color rgb="FF1F4E78"/>
      <name val="Arial"/>
      <charset val="1"/>
    </font>
    <font>
      <b/>
      <sz val="10"/>
      <color rgb="FFFFFFFF"/>
      <name val="Arial"/>
      <charset val="1"/>
    </font>
    <font>
      <b/>
      <sz val="13"/>
      <color rgb="FFFF000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  <fill>
      <patternFill patternType="solid">
        <fgColor rgb="FF8EA9DB"/>
        <bgColor rgb="FF969696"/>
      </patternFill>
    </fill>
    <fill>
      <patternFill patternType="solid">
        <fgColor rgb="FFFFFF00"/>
        <bgColor rgb="FFCC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0" fillId="2" borderId="0" xfId="0" applyFill="1"/>
    <xf numFmtId="0" fontId="9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 wrapText="1"/>
    </xf>
    <xf numFmtId="166" fontId="8" fillId="4" borderId="1" xfId="0" applyNumberFormat="1" applyFont="1" applyFill="1" applyBorder="1" applyAlignment="1">
      <alignment horizontal="center" vertical="center"/>
    </xf>
    <xf numFmtId="166" fontId="10" fillId="6" borderId="1" xfId="0" applyNumberFormat="1" applyFont="1" applyFill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3" fillId="2" borderId="0" xfId="0" applyFont="1" applyFill="1" applyBorder="1"/>
    <xf numFmtId="0" fontId="1" fillId="0" borderId="0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77777"/>
      <rgbColor rgb="FF8EA9DB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zoomScaleNormal="100" workbookViewId="0">
      <selection activeCell="B6" sqref="B6"/>
    </sheetView>
  </sheetViews>
  <sheetFormatPr baseColWidth="10" defaultColWidth="8.7109375" defaultRowHeight="15" x14ac:dyDescent="0.25"/>
  <cols>
    <col min="1" max="1" width="41.140625" customWidth="1"/>
    <col min="2" max="2" width="15" bestFit="1" customWidth="1"/>
    <col min="3" max="3" width="16" customWidth="1"/>
    <col min="4" max="5" width="19" customWidth="1"/>
    <col min="6" max="8" width="18" customWidth="1"/>
    <col min="9" max="9" width="16" customWidth="1"/>
    <col min="10" max="10" width="20" customWidth="1"/>
    <col min="11" max="11" width="22" customWidth="1"/>
  </cols>
  <sheetData>
    <row r="1" spans="1:11" ht="18" x14ac:dyDescent="0.25">
      <c r="A1" s="18" t="s">
        <v>0</v>
      </c>
      <c r="B1" s="18"/>
      <c r="C1" s="18"/>
      <c r="D1" s="18"/>
      <c r="E1" s="18"/>
    </row>
    <row r="2" spans="1:1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4" spans="1:11" x14ac:dyDescent="0.25">
      <c r="A4" s="17" t="s">
        <v>2</v>
      </c>
      <c r="B4" s="17"/>
    </row>
    <row r="5" spans="1:11" x14ac:dyDescent="0.25">
      <c r="A5" s="1" t="s">
        <v>3</v>
      </c>
      <c r="B5" s="8">
        <v>50000</v>
      </c>
    </row>
    <row r="6" spans="1:11" x14ac:dyDescent="0.25">
      <c r="A6" s="1" t="s">
        <v>4</v>
      </c>
      <c r="B6" s="9">
        <v>2.5000000000000001E-2</v>
      </c>
    </row>
    <row r="7" spans="1:11" x14ac:dyDescent="0.25">
      <c r="A7" s="1" t="s">
        <v>5</v>
      </c>
      <c r="B7" s="10">
        <v>33</v>
      </c>
    </row>
    <row r="8" spans="1:11" x14ac:dyDescent="0.25">
      <c r="A8" s="1" t="s">
        <v>6</v>
      </c>
      <c r="B8" s="8">
        <v>2000</v>
      </c>
    </row>
    <row r="9" spans="1:11" x14ac:dyDescent="0.25">
      <c r="A9" s="16"/>
      <c r="B9" s="16"/>
      <c r="C9" s="16"/>
      <c r="D9" s="16"/>
      <c r="E9" s="16"/>
      <c r="F9" s="16"/>
      <c r="G9" s="16"/>
      <c r="H9" s="16"/>
    </row>
    <row r="11" spans="1:11" x14ac:dyDescent="0.25">
      <c r="A11" s="17" t="s">
        <v>7</v>
      </c>
      <c r="B11" s="17"/>
    </row>
    <row r="12" spans="1:11" s="7" customFormat="1" ht="30" x14ac:dyDescent="0.25">
      <c r="A12" s="6" t="s">
        <v>8</v>
      </c>
      <c r="B12" s="12">
        <f>0.25*B5*(1+B6)*((1+B6)^(B7-1)-1)-B8</f>
        <v>13423.135765214045</v>
      </c>
    </row>
    <row r="13" spans="1:11" s="7" customFormat="1" x14ac:dyDescent="0.25">
      <c r="A13" s="15" t="s">
        <v>9</v>
      </c>
      <c r="B13" s="15"/>
      <c r="C13" s="15"/>
      <c r="D13" s="15"/>
      <c r="E13" s="15"/>
      <c r="F13" s="15"/>
      <c r="G13" s="15"/>
      <c r="H13" s="15"/>
    </row>
    <row r="14" spans="1:11" s="7" customFormat="1" x14ac:dyDescent="0.25"/>
    <row r="15" spans="1:11" s="7" customFormat="1" ht="45" x14ac:dyDescent="0.25">
      <c r="A15" s="11" t="s">
        <v>24</v>
      </c>
      <c r="B15" s="13">
        <f>(B7-1)*0.25*B6*B5*(1+B6)^(B7-1)-B8*(1+B6)^B7</f>
        <v>17519.86765529379</v>
      </c>
    </row>
    <row r="16" spans="1:11" x14ac:dyDescent="0.25">
      <c r="A16" s="16" t="s">
        <v>10</v>
      </c>
      <c r="B16" s="16"/>
      <c r="C16" s="16"/>
      <c r="D16" s="16"/>
      <c r="E16" s="16"/>
      <c r="F16" s="16"/>
      <c r="G16" s="16"/>
      <c r="H16" s="16"/>
    </row>
    <row r="18" spans="1:11" x14ac:dyDescent="0.25">
      <c r="A18" s="17" t="s">
        <v>11</v>
      </c>
      <c r="B18" s="17"/>
      <c r="C18" s="17"/>
      <c r="D18" s="17"/>
      <c r="E18" s="2"/>
      <c r="F18" s="2"/>
      <c r="G18" s="2"/>
      <c r="H18" s="2"/>
      <c r="I18" s="2"/>
      <c r="J18" s="2"/>
      <c r="K18" s="2"/>
    </row>
    <row r="19" spans="1:11" x14ac:dyDescent="0.25">
      <c r="A19" s="16" t="s">
        <v>12</v>
      </c>
      <c r="B19" s="16"/>
      <c r="C19" s="16"/>
      <c r="D19" s="16"/>
      <c r="E19" s="16"/>
      <c r="F19" s="16"/>
      <c r="G19" s="16"/>
      <c r="H19" s="16"/>
    </row>
    <row r="20" spans="1:11" ht="42" customHeight="1" x14ac:dyDescent="0.25">
      <c r="A20" s="3" t="s">
        <v>13</v>
      </c>
      <c r="B20" s="3" t="s">
        <v>14</v>
      </c>
      <c r="C20" s="3" t="s">
        <v>15</v>
      </c>
      <c r="D20" s="3" t="s">
        <v>16</v>
      </c>
      <c r="E20" s="3" t="s">
        <v>17</v>
      </c>
      <c r="F20" s="3" t="s">
        <v>18</v>
      </c>
      <c r="G20" s="3" t="s">
        <v>19</v>
      </c>
      <c r="H20" s="3" t="s">
        <v>20</v>
      </c>
      <c r="I20" s="3" t="s">
        <v>21</v>
      </c>
      <c r="J20" s="3" t="s">
        <v>22</v>
      </c>
      <c r="K20" s="3" t="s">
        <v>23</v>
      </c>
    </row>
    <row r="21" spans="1:11" x14ac:dyDescent="0.25">
      <c r="A21" s="4">
        <f>IF($B$7&gt;=1,1,"")</f>
        <v>1</v>
      </c>
      <c r="B21" s="4">
        <f>IF($B$7&gt;=1,2026+1,"")</f>
        <v>2027</v>
      </c>
      <c r="C21" s="14">
        <f>IF($B$7&gt;=1,0,"")</f>
        <v>0</v>
      </c>
      <c r="D21" s="14">
        <f>IF($B$7&gt;=1,SUM($C$21:C21)-$B$8,"")</f>
        <v>-2000</v>
      </c>
      <c r="E21" s="14">
        <f>IF($B$7&gt;=1,(1-1)*0.25*$B$6*$B$5*(1+$B$6)^(1-1)-$B$8*(1+$B$6)^1,"")</f>
        <v>-2050</v>
      </c>
      <c r="F21" s="14">
        <f>IF($B$7&gt;=1,$B$5*(1+$B$6)^1,"")</f>
        <v>51249.999999999993</v>
      </c>
      <c r="G21" s="14">
        <f>IF($B$7&gt;=1,(3/12)*$B$5*(1+$B$6)^1,"")</f>
        <v>12812.499999999998</v>
      </c>
      <c r="H21" s="14">
        <f>IF($B$7&gt;=1,(9/12)*$B$5*(1+$B$6)^1,"")</f>
        <v>38437.5</v>
      </c>
      <c r="I21" s="14">
        <f>IF($B$7&gt;=1,G21+H21,"")</f>
        <v>51250</v>
      </c>
      <c r="J21" s="14">
        <f>IF($B$7&gt;=1,$B$8*(1+$B$6)^1,"")</f>
        <v>2050</v>
      </c>
      <c r="K21" s="14">
        <f>IF($B$7&gt;=1,(1-1)*0.25*$B$6*$B$5*(1+$B$6)^(1-1),"")</f>
        <v>0</v>
      </c>
    </row>
    <row r="22" spans="1:11" x14ac:dyDescent="0.25">
      <c r="A22" s="4">
        <f>IF($B$7&gt;=2,2,"")</f>
        <v>2</v>
      </c>
      <c r="B22" s="4">
        <f>IF($B$7&gt;=2,2026+2,"")</f>
        <v>2028</v>
      </c>
      <c r="C22" s="14">
        <f>IF($B$7&gt;=2,0.25*$B$6*$B$5*(1+$B$6)^(2-1),"")</f>
        <v>320.3125</v>
      </c>
      <c r="D22" s="14">
        <f>IF($B$7&gt;=2,SUM($C$21:C22)-$B$8,"")</f>
        <v>-1679.6875</v>
      </c>
      <c r="E22" s="14">
        <f>IF($B$7&gt;=2,(2-1)*0.25*$B$6*$B$5*(1+$B$6)^(2-1)-$B$8*(1+$B$6)^2,"")</f>
        <v>-1780.9375</v>
      </c>
      <c r="F22" s="14">
        <f>IF($B$7&gt;=2,$B$5*(1+$B$6)^2,"")</f>
        <v>52531.249999999993</v>
      </c>
      <c r="G22" s="14">
        <f>IF($B$7&gt;=2,(3/12)*$B$5*(1+$B$6)^(2-1),"")</f>
        <v>12812.499999999998</v>
      </c>
      <c r="H22" s="14">
        <f>IF($B$7&gt;=2,(9/12)*$B$5*(1+$B$6)^2,"")</f>
        <v>39398.4375</v>
      </c>
      <c r="I22" s="14">
        <f>IF($B$7&gt;=2,G22+H22,"")</f>
        <v>52210.9375</v>
      </c>
      <c r="J22" s="14">
        <f>IF($B$7&gt;=2,$B$8*(1+$B$6)^2,"")</f>
        <v>2101.25</v>
      </c>
      <c r="K22" s="14">
        <f>IF($B$7&gt;=2,(2-1)*0.25*$B$6*$B$5*(1+$B$6)^(2-1),"")</f>
        <v>320.3125</v>
      </c>
    </row>
    <row r="23" spans="1:11" x14ac:dyDescent="0.25">
      <c r="A23" s="4">
        <f>IF($B$7&gt;=3,3,"")</f>
        <v>3</v>
      </c>
      <c r="B23" s="4">
        <f>IF($B$7&gt;=3,2026+3,"")</f>
        <v>2029</v>
      </c>
      <c r="C23" s="14">
        <f>IF($B$7&gt;=3,0.25*$B$6*$B$5*(1+$B$6)^(3-1),"")</f>
        <v>328.3203125</v>
      </c>
      <c r="D23" s="14">
        <f>IF($B$7&gt;=3,SUM($C$21:C23)-$B$8,"")</f>
        <v>-1351.3671875</v>
      </c>
      <c r="E23" s="14">
        <f>IF($B$7&gt;=3,(3-1)*0.25*$B$6*$B$5*(1+$B$6)^(3-1)-$B$8*(1+$B$6)^3,"")</f>
        <v>-1497.1406249999995</v>
      </c>
      <c r="F23" s="14">
        <f>IF($B$7&gt;=3,$B$5*(1+$B$6)^3,"")</f>
        <v>53844.531249999993</v>
      </c>
      <c r="G23" s="14">
        <f>IF($B$7&gt;=3,(3/12)*$B$5*(1+$B$6)^(3-1),"")</f>
        <v>13132.812499999998</v>
      </c>
      <c r="H23" s="14">
        <f>IF($B$7&gt;=3,(9/12)*$B$5*(1+$B$6)^3,"")</f>
        <v>40383.398437499993</v>
      </c>
      <c r="I23" s="14">
        <f>IF($B$7&gt;=3,G23+H23,"")</f>
        <v>53516.210937499993</v>
      </c>
      <c r="J23" s="14">
        <f>IF($B$7&gt;=3,$B$8*(1+$B$6)^3,"")</f>
        <v>2153.7812499999995</v>
      </c>
      <c r="K23" s="14">
        <f>IF($B$7&gt;=3,(3-1)*0.25*$B$6*$B$5*(1+$B$6)^(3-1),"")</f>
        <v>656.640625</v>
      </c>
    </row>
    <row r="24" spans="1:11" x14ac:dyDescent="0.25">
      <c r="A24" s="4">
        <f>IF($B$7&gt;=4,4,"")</f>
        <v>4</v>
      </c>
      <c r="B24" s="4">
        <f>IF($B$7&gt;=4,2026+4,"")</f>
        <v>2030</v>
      </c>
      <c r="C24" s="14">
        <f>IF($B$7&gt;=4,0.25*$B$6*$B$5*(1+$B$6)^(4-1),"")</f>
        <v>336.52832031249994</v>
      </c>
      <c r="D24" s="14">
        <f>IF($B$7&gt;=4,SUM($C$21:C24)-$B$8,"")</f>
        <v>-1014.8388671875</v>
      </c>
      <c r="E24" s="14">
        <f>IF($B$7&gt;=4,(4-1)*0.25*$B$6*$B$5*(1+$B$6)^(4-1)-$B$8*(1+$B$6)^4,"")</f>
        <v>-1198.0408203124994</v>
      </c>
      <c r="F24" s="14">
        <f>IF($B$7&gt;=4,$B$5*(1+$B$6)^4,"")</f>
        <v>55190.644531249985</v>
      </c>
      <c r="G24" s="14">
        <f>IF($B$7&gt;=4,(3/12)*$B$5*(1+$B$6)^(4-1),"")</f>
        <v>13461.132812499998</v>
      </c>
      <c r="H24" s="14">
        <f>IF($B$7&gt;=4,(9/12)*$B$5*(1+$B$6)^4,"")</f>
        <v>41392.983398437493</v>
      </c>
      <c r="I24" s="14">
        <f>IF($B$7&gt;=4,G24+H24,"")</f>
        <v>54854.116210937493</v>
      </c>
      <c r="J24" s="14">
        <f>IF($B$7&gt;=4,$B$8*(1+$B$6)^4,"")</f>
        <v>2207.6257812499994</v>
      </c>
      <c r="K24" s="14">
        <f>IF($B$7&gt;=4,(4-1)*0.25*$B$6*$B$5*(1+$B$6)^(4-1),"")</f>
        <v>1009.5849609375</v>
      </c>
    </row>
    <row r="25" spans="1:11" x14ac:dyDescent="0.25">
      <c r="A25" s="4">
        <f>IF($B$7&gt;=5,5,"")</f>
        <v>5</v>
      </c>
      <c r="B25" s="4">
        <f>IF($B$7&gt;=5,2026+5,"")</f>
        <v>2031</v>
      </c>
      <c r="C25" s="14">
        <f>IF($B$7&gt;=5,0.25*$B$6*$B$5*(1+$B$6)^(5-1),"")</f>
        <v>344.94152832031244</v>
      </c>
      <c r="D25" s="14">
        <f>IF($B$7&gt;=5,SUM($C$21:C25)-$B$8,"")</f>
        <v>-669.8973388671875</v>
      </c>
      <c r="E25" s="14">
        <f>IF($B$7&gt;=5,(5-1)*0.25*$B$6*$B$5*(1+$B$6)^(5-1)-$B$8*(1+$B$6)^5,"")</f>
        <v>-883.05031249999934</v>
      </c>
      <c r="F25" s="14">
        <f>IF($B$7&gt;=5,$B$5*(1+$B$6)^5,"")</f>
        <v>56570.410644531235</v>
      </c>
      <c r="G25" s="14">
        <f>IF($B$7&gt;=5,(3/12)*$B$5*(1+$B$6)^(5-1),"")</f>
        <v>13797.661132812496</v>
      </c>
      <c r="H25" s="14">
        <f>IF($B$7&gt;=5,(9/12)*$B$5*(1+$B$6)^5,"")</f>
        <v>42427.807983398423</v>
      </c>
      <c r="I25" s="14">
        <f>IF($B$7&gt;=5,G25+H25,"")</f>
        <v>56225.469116210923</v>
      </c>
      <c r="J25" s="14">
        <f>IF($B$7&gt;=5,$B$8*(1+$B$6)^5,"")</f>
        <v>2262.8164257812491</v>
      </c>
      <c r="K25" s="14">
        <f>IF($B$7&gt;=5,(5-1)*0.25*$B$6*$B$5*(1+$B$6)^(5-1),"")</f>
        <v>1379.7661132812498</v>
      </c>
    </row>
    <row r="26" spans="1:11" x14ac:dyDescent="0.25">
      <c r="A26" s="4">
        <f>IF($B$7&gt;=6,6,"")</f>
        <v>6</v>
      </c>
      <c r="B26" s="4">
        <f>IF($B$7&gt;=6,2026+6,"")</f>
        <v>2032</v>
      </c>
      <c r="C26" s="14">
        <f>IF($B$7&gt;=6,0.25*$B$6*$B$5*(1+$B$6)^(6-1),"")</f>
        <v>353.56506652832019</v>
      </c>
      <c r="D26" s="14">
        <f>IF($B$7&gt;=6,SUM($C$21:C26)-$B$8,"")</f>
        <v>-316.33227233886737</v>
      </c>
      <c r="E26" s="14">
        <f>IF($B$7&gt;=6,(6-1)*0.25*$B$6*$B$5*(1+$B$6)^(6-1)-$B$8*(1+$B$6)^6,"")</f>
        <v>-551.56150378417942</v>
      </c>
      <c r="F26" s="14">
        <f>IF($B$7&gt;=6,$B$5*(1+$B$6)^6,"")</f>
        <v>57984.670910644512</v>
      </c>
      <c r="G26" s="14">
        <f>IF($B$7&gt;=6,(3/12)*$B$5*(1+$B$6)^(6-1),"")</f>
        <v>14142.602661132809</v>
      </c>
      <c r="H26" s="14">
        <f>IF($B$7&gt;=6,(9/12)*$B$5*(1+$B$6)^6,"")</f>
        <v>43488.503182983382</v>
      </c>
      <c r="I26" s="14">
        <f>IF($B$7&gt;=6,G26+H26,"")</f>
        <v>57631.105844116188</v>
      </c>
      <c r="J26" s="14">
        <f>IF($B$7&gt;=6,$B$8*(1+$B$6)^6,"")</f>
        <v>2319.3868364257805</v>
      </c>
      <c r="K26" s="14">
        <f>IF($B$7&gt;=6,(6-1)*0.25*$B$6*$B$5*(1+$B$6)^(6-1),"")</f>
        <v>1767.8253326416011</v>
      </c>
    </row>
    <row r="27" spans="1:11" x14ac:dyDescent="0.25">
      <c r="A27" s="4">
        <f>IF($B$7&gt;=7,7,"")</f>
        <v>7</v>
      </c>
      <c r="B27" s="4">
        <f>IF($B$7&gt;=7,2026+7,"")</f>
        <v>2033</v>
      </c>
      <c r="C27" s="14">
        <f>IF($B$7&gt;=7,0.25*$B$6*$B$5*(1+$B$6)^(7-1),"")</f>
        <v>362.40419319152818</v>
      </c>
      <c r="D27" s="14">
        <f>IF($B$7&gt;=7,SUM($C$21:C27)-$B$8,"")</f>
        <v>46.071920852660696</v>
      </c>
      <c r="E27" s="14">
        <f>IF($B$7&gt;=7,(7-1)*0.25*$B$6*$B$5*(1+$B$6)^(7-1)-$B$8*(1+$B$6)^7,"")</f>
        <v>-202.94634818725581</v>
      </c>
      <c r="F27" s="14">
        <f>IF($B$7&gt;=7,$B$5*(1+$B$6)^7,"")</f>
        <v>59434.287683410628</v>
      </c>
      <c r="G27" s="14">
        <f>IF($B$7&gt;=7,(3/12)*$B$5*(1+$B$6)^(7-1),"")</f>
        <v>14496.167727661128</v>
      </c>
      <c r="H27" s="14">
        <f>IF($B$7&gt;=7,(9/12)*$B$5*(1+$B$6)^7,"")</f>
        <v>44575.715762557971</v>
      </c>
      <c r="I27" s="14">
        <f>IF($B$7&gt;=7,G27+H27,"")</f>
        <v>59071.883490219101</v>
      </c>
      <c r="J27" s="14">
        <f>IF($B$7&gt;=7,$B$8*(1+$B$6)^7,"")</f>
        <v>2377.3715073364251</v>
      </c>
      <c r="K27" s="14">
        <f>IF($B$7&gt;=7,(7-1)*0.25*$B$6*$B$5*(1+$B$6)^(7-1),"")</f>
        <v>2174.4251591491693</v>
      </c>
    </row>
    <row r="28" spans="1:11" x14ac:dyDescent="0.25">
      <c r="A28" s="4">
        <f>IF($B$7&gt;=8,8,"")</f>
        <v>8</v>
      </c>
      <c r="B28" s="4">
        <f>IF($B$7&gt;=8,2026+8,"")</f>
        <v>2034</v>
      </c>
      <c r="C28" s="14">
        <f>IF($B$7&gt;=8,0.25*$B$6*$B$5*(1+$B$6)^(8-1),"")</f>
        <v>371.46429802131638</v>
      </c>
      <c r="D28" s="14">
        <f>IF($B$7&gt;=8,SUM($C$21:C28)-$B$8,"")</f>
        <v>417.5362188739773</v>
      </c>
      <c r="E28" s="14">
        <f>IF($B$7&gt;=8,(8-1)*0.25*$B$6*$B$5*(1+$B$6)^(8-1)-$B$8*(1+$B$6)^8,"")</f>
        <v>163.44429112937951</v>
      </c>
      <c r="F28" s="14">
        <f>IF($B$7&gt;=8,$B$5*(1+$B$6)^8,"")</f>
        <v>60920.144875495884</v>
      </c>
      <c r="G28" s="14">
        <f>IF($B$7&gt;=8,(3/12)*$B$5*(1+$B$6)^(8-1),"")</f>
        <v>14858.571920852657</v>
      </c>
      <c r="H28" s="14">
        <f>IF($B$7&gt;=8,(9/12)*$B$5*(1+$B$6)^8,"")</f>
        <v>45690.108656621916</v>
      </c>
      <c r="I28" s="14">
        <f>IF($B$7&gt;=8,G28+H28,"")</f>
        <v>60548.680577474574</v>
      </c>
      <c r="J28" s="14">
        <f>IF($B$7&gt;=8,$B$8*(1+$B$6)^8,"")</f>
        <v>2436.8057950198354</v>
      </c>
      <c r="K28" s="14">
        <f>IF($B$7&gt;=8,(8-1)*0.25*$B$6*$B$5*(1+$B$6)^(8-1),"")</f>
        <v>2600.2500861492149</v>
      </c>
    </row>
    <row r="29" spans="1:11" x14ac:dyDescent="0.25">
      <c r="A29" s="4">
        <f>IF($B$7&gt;=9,9,"")</f>
        <v>9</v>
      </c>
      <c r="B29" s="4">
        <f>IF($B$7&gt;=9,2026+9,"")</f>
        <v>2035</v>
      </c>
      <c r="C29" s="14">
        <f>IF($B$7&gt;=9,0.25*$B$6*$B$5*(1+$B$6)^(9-1),"")</f>
        <v>380.75090547184931</v>
      </c>
      <c r="D29" s="14">
        <f>IF($B$7&gt;=9,SUM($C$21:C29)-$B$8,"")</f>
        <v>798.28712434582667</v>
      </c>
      <c r="E29" s="14">
        <f>IF($B$7&gt;=9,(9-1)*0.25*$B$6*$B$5*(1+$B$6)^(9-1)-$B$8*(1+$B$6)^9,"")</f>
        <v>548.28130387946339</v>
      </c>
      <c r="F29" s="14">
        <f>IF($B$7&gt;=9,$B$5*(1+$B$6)^9,"")</f>
        <v>62443.14849738327</v>
      </c>
      <c r="G29" s="14">
        <f>IF($B$7&gt;=9,(3/12)*$B$5*(1+$B$6)^(9-1),"")</f>
        <v>15230.036218873971</v>
      </c>
      <c r="H29" s="14">
        <f>IF($B$7&gt;=9,(9/12)*$B$5*(1+$B$6)^9,"")</f>
        <v>46832.361373037456</v>
      </c>
      <c r="I29" s="14">
        <f>IF($B$7&gt;=9,G29+H29,"")</f>
        <v>62062.397591911431</v>
      </c>
      <c r="J29" s="14">
        <f>IF($B$7&gt;=9,$B$8*(1+$B$6)^9,"")</f>
        <v>2497.7259398953311</v>
      </c>
      <c r="K29" s="14">
        <f>IF($B$7&gt;=9,(9-1)*0.25*$B$6*$B$5*(1+$B$6)^(9-1),"")</f>
        <v>3046.0072437747945</v>
      </c>
    </row>
    <row r="30" spans="1:11" x14ac:dyDescent="0.25">
      <c r="A30" s="4">
        <f>IF($B$7&gt;=10,10,"")</f>
        <v>10</v>
      </c>
      <c r="B30" s="4">
        <f>IF($B$7&gt;=10,2026+10,"")</f>
        <v>2036</v>
      </c>
      <c r="C30" s="14">
        <f>IF($B$7&gt;=10,0.25*$B$6*$B$5*(1+$B$6)^(10-1),"")</f>
        <v>390.26967810864545</v>
      </c>
      <c r="D30" s="14">
        <f>IF($B$7&gt;=10,SUM($C$21:C30)-$B$8,"")</f>
        <v>1188.5568024544723</v>
      </c>
      <c r="E30" s="14">
        <f>IF($B$7&gt;=10,(10-1)*0.25*$B$6*$B$5*(1+$B$6)^(10-1)-$B$8*(1+$B$6)^10,"")</f>
        <v>952.25801458509522</v>
      </c>
      <c r="F30" s="14">
        <f>IF($B$7&gt;=10,$B$5*(1+$B$6)^10,"")</f>
        <v>64004.227209817851</v>
      </c>
      <c r="G30" s="14">
        <f>IF($B$7&gt;=10,(3/12)*$B$5*(1+$B$6)^(10-1),"")</f>
        <v>15610.787124345818</v>
      </c>
      <c r="H30" s="14">
        <f>IF($B$7&gt;=10,(9/12)*$B$5*(1+$B$6)^10,"")</f>
        <v>48003.170407363388</v>
      </c>
      <c r="I30" s="14">
        <f>IF($B$7&gt;=10,G30+H30,"")</f>
        <v>63613.957531709209</v>
      </c>
      <c r="J30" s="14">
        <f>IF($B$7&gt;=10,$B$8*(1+$B$6)^10,"")</f>
        <v>2560.169088392714</v>
      </c>
      <c r="K30" s="14">
        <f>IF($B$7&gt;=10,(10-1)*0.25*$B$6*$B$5*(1+$B$6)^(10-1),"")</f>
        <v>3512.4271029778092</v>
      </c>
    </row>
    <row r="31" spans="1:11" x14ac:dyDescent="0.25">
      <c r="A31" s="4">
        <f>IF($B$7&gt;=11,11,"")</f>
        <v>11</v>
      </c>
      <c r="B31" s="4">
        <f>IF($B$7&gt;=11,2026+11,"")</f>
        <v>2037</v>
      </c>
      <c r="C31" s="14">
        <f>IF($B$7&gt;=11,0.25*$B$6*$B$5*(1+$B$6)^(11-1),"")</f>
        <v>400.02642006136159</v>
      </c>
      <c r="D31" s="14">
        <f>IF($B$7&gt;=11,SUM($C$21:C31)-$B$8,"")</f>
        <v>1588.5832225158338</v>
      </c>
      <c r="E31" s="14">
        <f>IF($B$7&gt;=11,(11-1)*0.25*$B$6*$B$5*(1+$B$6)^(11-1)-$B$8*(1+$B$6)^11,"")</f>
        <v>1376.0908850110836</v>
      </c>
      <c r="F31" s="14">
        <f>IF($B$7&gt;=11,$B$5*(1+$B$6)^11,"")</f>
        <v>65604.332890063306</v>
      </c>
      <c r="G31" s="14">
        <f>IF($B$7&gt;=11,(3/12)*$B$5*(1+$B$6)^(11-1),"")</f>
        <v>16001.056802454463</v>
      </c>
      <c r="H31" s="14">
        <f>IF($B$7&gt;=11,(9/12)*$B$5*(1+$B$6)^11,"")</f>
        <v>49203.249667547476</v>
      </c>
      <c r="I31" s="14">
        <f>IF($B$7&gt;=11,G31+H31,"")</f>
        <v>65204.306470001939</v>
      </c>
      <c r="J31" s="14">
        <f>IF($B$7&gt;=11,$B$8*(1+$B$6)^11,"")</f>
        <v>2624.1733156025321</v>
      </c>
      <c r="K31" s="14">
        <f>IF($B$7&gt;=11,(11-1)*0.25*$B$6*$B$5*(1+$B$6)^(11-1),"")</f>
        <v>4000.2642006136157</v>
      </c>
    </row>
    <row r="32" spans="1:11" x14ac:dyDescent="0.25">
      <c r="A32" s="4">
        <f>IF($B$7&gt;=12,12,"")</f>
        <v>12</v>
      </c>
      <c r="B32" s="4">
        <f>IF($B$7&gt;=12,2026+12,"")</f>
        <v>2038</v>
      </c>
      <c r="C32" s="14">
        <f>IF($B$7&gt;=12,0.25*$B$6*$B$5*(1+$B$6)^(12-1),"")</f>
        <v>410.02708056289561</v>
      </c>
      <c r="D32" s="14">
        <f>IF($B$7&gt;=12,SUM($C$21:C32)-$B$8,"")</f>
        <v>1998.6103030787294</v>
      </c>
      <c r="E32" s="14">
        <f>IF($B$7&gt;=12,(12-1)*0.25*$B$6*$B$5*(1+$B$6)^(12-1)-$B$8*(1+$B$6)^12,"")</f>
        <v>1820.5202376992579</v>
      </c>
      <c r="F32" s="14">
        <f>IF($B$7&gt;=12,$B$5*(1+$B$6)^12,"")</f>
        <v>67244.44121231488</v>
      </c>
      <c r="G32" s="14">
        <f>IF($B$7&gt;=12,(3/12)*$B$5*(1+$B$6)^(12-1),"")</f>
        <v>16401.083222515826</v>
      </c>
      <c r="H32" s="14">
        <f>IF($B$7&gt;=12,(9/12)*$B$5*(1+$B$6)^12,"")</f>
        <v>50433.33090923616</v>
      </c>
      <c r="I32" s="14">
        <f>IF($B$7&gt;=12,G32+H32,"")</f>
        <v>66834.414131751982</v>
      </c>
      <c r="J32" s="14">
        <f>IF($B$7&gt;=12,$B$8*(1+$B$6)^12,"")</f>
        <v>2689.7776484925948</v>
      </c>
      <c r="K32" s="14">
        <f>IF($B$7&gt;=12,(12-1)*0.25*$B$6*$B$5*(1+$B$6)^(12-1),"")</f>
        <v>4510.2978861918527</v>
      </c>
    </row>
    <row r="33" spans="1:11" x14ac:dyDescent="0.25">
      <c r="A33" s="4">
        <f>IF($B$7&gt;=13,13,"")</f>
        <v>13</v>
      </c>
      <c r="B33" s="4">
        <f>IF($B$7&gt;=13,2026+13,"")</f>
        <v>2039</v>
      </c>
      <c r="C33" s="14">
        <f>IF($B$7&gt;=13,0.25*$B$6*$B$5*(1+$B$6)^(13-1),"")</f>
        <v>420.27775757696799</v>
      </c>
      <c r="D33" s="14">
        <f>IF($B$7&gt;=13,SUM($C$21:C33)-$B$8,"")</f>
        <v>2418.8880606556977</v>
      </c>
      <c r="E33" s="14">
        <f>IF($B$7&gt;=13,(13-1)*0.25*$B$6*$B$5*(1+$B$6)^(13-1)-$B$8*(1+$B$6)^13,"")</f>
        <v>2286.3110012187067</v>
      </c>
      <c r="F33" s="14">
        <f>IF($B$7&gt;=13,$B$5*(1+$B$6)^13,"")</f>
        <v>68925.55224262274</v>
      </c>
      <c r="G33" s="14">
        <f>IF($B$7&gt;=13,(3/12)*$B$5*(1+$B$6)^(13-1),"")</f>
        <v>16811.11030307872</v>
      </c>
      <c r="H33" s="14">
        <f>IF($B$7&gt;=13,(9/12)*$B$5*(1+$B$6)^13,"")</f>
        <v>51694.164181967062</v>
      </c>
      <c r="I33" s="14">
        <f>IF($B$7&gt;=13,G33+H33,"")</f>
        <v>68505.274485045782</v>
      </c>
      <c r="J33" s="14">
        <f>IF($B$7&gt;=13,$B$8*(1+$B$6)^13,"")</f>
        <v>2757.0220897049098</v>
      </c>
      <c r="K33" s="14">
        <f>IF($B$7&gt;=13,(13-1)*0.25*$B$6*$B$5*(1+$B$6)^(13-1),"")</f>
        <v>5043.3330909236165</v>
      </c>
    </row>
    <row r="34" spans="1:11" x14ac:dyDescent="0.25">
      <c r="A34" s="4">
        <f>IF($B$7&gt;=14,14,"")</f>
        <v>14</v>
      </c>
      <c r="B34" s="4">
        <f>IF($B$7&gt;=14,2026+14,"")</f>
        <v>2040</v>
      </c>
      <c r="C34" s="14">
        <f>IF($B$7&gt;=14,0.25*$B$6*$B$5*(1+$B$6)^(14-1),"")</f>
        <v>430.78470151639215</v>
      </c>
      <c r="D34" s="14">
        <f>IF($B$7&gt;=14,SUM($C$21:C34)-$B$8,"")</f>
        <v>2849.6727621720902</v>
      </c>
      <c r="E34" s="14">
        <f>IF($B$7&gt;=14,(14-1)*0.25*$B$6*$B$5*(1+$B$6)^(14-1)-$B$8*(1+$B$6)^14,"")</f>
        <v>2774.2534777655655</v>
      </c>
      <c r="F34" s="14">
        <f>IF($B$7&gt;=14,$B$5*(1+$B$6)^14,"")</f>
        <v>70648.691048688299</v>
      </c>
      <c r="G34" s="14">
        <f>IF($B$7&gt;=14,(3/12)*$B$5*(1+$B$6)^(14-1),"")</f>
        <v>17231.388060655685</v>
      </c>
      <c r="H34" s="14">
        <f>IF($B$7&gt;=14,(9/12)*$B$5*(1+$B$6)^14,"")</f>
        <v>52986.518286516228</v>
      </c>
      <c r="I34" s="14">
        <f>IF($B$7&gt;=14,G34+H34,"")</f>
        <v>70217.906347171913</v>
      </c>
      <c r="J34" s="14">
        <f>IF($B$7&gt;=14,$B$8*(1+$B$6)^14,"")</f>
        <v>2825.9476419475322</v>
      </c>
      <c r="K34" s="14">
        <f>IF($B$7&gt;=14,(14-1)*0.25*$B$6*$B$5*(1+$B$6)^(14-1),"")</f>
        <v>5600.2011197130978</v>
      </c>
    </row>
    <row r="35" spans="1:11" x14ac:dyDescent="0.25">
      <c r="A35" s="4">
        <f>IF($B$7&gt;=15,15,"")</f>
        <v>15</v>
      </c>
      <c r="B35" s="4">
        <f>IF($B$7&gt;=15,2026+15,"")</f>
        <v>2041</v>
      </c>
      <c r="C35" s="14">
        <f>IF($B$7&gt;=15,0.25*$B$6*$B$5*(1+$B$6)^(15-1),"")</f>
        <v>441.55431905430191</v>
      </c>
      <c r="D35" s="14">
        <f>IF($B$7&gt;=15,SUM($C$21:C35)-$B$8,"")</f>
        <v>3291.2270812263923</v>
      </c>
      <c r="E35" s="14">
        <f>IF($B$7&gt;=15,(15-1)*0.25*$B$6*$B$5*(1+$B$6)^(15-1)-$B$8*(1+$B$6)^15,"")</f>
        <v>3285.1641337640053</v>
      </c>
      <c r="F35" s="14">
        <f>IF($B$7&gt;=15,$B$5*(1+$B$6)^15,"")</f>
        <v>72414.908324905526</v>
      </c>
      <c r="G35" s="14">
        <f>IF($B$7&gt;=15,(3/12)*$B$5*(1+$B$6)^(15-1),"")</f>
        <v>17662.172762172075</v>
      </c>
      <c r="H35" s="14">
        <f>IF($B$7&gt;=15,(9/12)*$B$5*(1+$B$6)^15,"")</f>
        <v>54311.181243679144</v>
      </c>
      <c r="I35" s="14">
        <f>IF($B$7&gt;=15,G35+H35,"")</f>
        <v>71973.354005851215</v>
      </c>
      <c r="J35" s="14">
        <f>IF($B$7&gt;=15,$B$8*(1+$B$6)^15,"")</f>
        <v>2896.596332996221</v>
      </c>
      <c r="K35" s="14">
        <f>IF($B$7&gt;=15,(15-1)*0.25*$B$6*$B$5*(1+$B$6)^(15-1),"")</f>
        <v>6181.7604667602263</v>
      </c>
    </row>
    <row r="36" spans="1:11" x14ac:dyDescent="0.25">
      <c r="A36" s="4">
        <f>IF($B$7&gt;=16,16,"")</f>
        <v>16</v>
      </c>
      <c r="B36" s="4">
        <f>IF($B$7&gt;=16,2026+16,"")</f>
        <v>2042</v>
      </c>
      <c r="C36" s="14">
        <f>IF($B$7&gt;=16,0.25*$B$6*$B$5*(1+$B$6)^(16-1),"")</f>
        <v>452.59317703065955</v>
      </c>
      <c r="D36" s="14">
        <f>IF($B$7&gt;=16,SUM($C$21:C36)-$B$8,"")</f>
        <v>3743.820258257052</v>
      </c>
      <c r="E36" s="14">
        <f>IF($B$7&gt;=16,(16-1)*0.25*$B$6*$B$5*(1+$B$6)^(16-1)-$B$8*(1+$B$6)^16,"")</f>
        <v>3819.8864141387667</v>
      </c>
      <c r="F36" s="14">
        <f>IF($B$7&gt;=16,$B$5*(1+$B$6)^16,"")</f>
        <v>74225.28103302815</v>
      </c>
      <c r="G36" s="14">
        <f>IF($B$7&gt;=16,(3/12)*$B$5*(1+$B$6)^(16-1),"")</f>
        <v>18103.727081226381</v>
      </c>
      <c r="H36" s="14">
        <f>IF($B$7&gt;=16,(9/12)*$B$5*(1+$B$6)^16,"")</f>
        <v>55668.96077477112</v>
      </c>
      <c r="I36" s="14">
        <f>IF($B$7&gt;=16,G36+H36,"")</f>
        <v>73772.687855997501</v>
      </c>
      <c r="J36" s="14">
        <f>IF($B$7&gt;=16,$B$8*(1+$B$6)^16,"")</f>
        <v>2969.0112413211264</v>
      </c>
      <c r="K36" s="14">
        <f>IF($B$7&gt;=16,(16-1)*0.25*$B$6*$B$5*(1+$B$6)^(16-1),"")</f>
        <v>6788.897655459893</v>
      </c>
    </row>
    <row r="37" spans="1:11" x14ac:dyDescent="0.25">
      <c r="A37" s="4">
        <f>IF($B$7&gt;=17,17,"")</f>
        <v>17</v>
      </c>
      <c r="B37" s="4">
        <f>IF($B$7&gt;=17,2026+17,"")</f>
        <v>2043</v>
      </c>
      <c r="C37" s="14">
        <f>IF($B$7&gt;=17,0.25*$B$6*$B$5*(1+$B$6)^(17-1),"")</f>
        <v>463.90800645642599</v>
      </c>
      <c r="D37" s="14">
        <f>IF($B$7&gt;=17,SUM($C$21:C37)-$B$8,"")</f>
        <v>4207.728264713478</v>
      </c>
      <c r="E37" s="14">
        <f>IF($B$7&gt;=17,(17-1)*0.25*$B$6*$B$5*(1+$B$6)^(17-1)-$B$8*(1+$B$6)^17,"")</f>
        <v>4379.2915809486622</v>
      </c>
      <c r="F37" s="14">
        <f>IF($B$7&gt;=17,$B$5*(1+$B$6)^17,"")</f>
        <v>76080.913058853854</v>
      </c>
      <c r="G37" s="14">
        <f>IF($B$7&gt;=17,(3/12)*$B$5*(1+$B$6)^(17-1),"")</f>
        <v>18556.320258257037</v>
      </c>
      <c r="H37" s="14">
        <f>IF($B$7&gt;=17,(9/12)*$B$5*(1+$B$6)^17,"")</f>
        <v>57060.68479414039</v>
      </c>
      <c r="I37" s="14">
        <f>IF($B$7&gt;=17,G37+H37,"")</f>
        <v>75617.005052397435</v>
      </c>
      <c r="J37" s="14">
        <f>IF($B$7&gt;=17,$B$8*(1+$B$6)^17,"")</f>
        <v>3043.2365223541542</v>
      </c>
      <c r="K37" s="14">
        <f>IF($B$7&gt;=17,(17-1)*0.25*$B$6*$B$5*(1+$B$6)^(17-1),"")</f>
        <v>7422.5281033028159</v>
      </c>
    </row>
    <row r="38" spans="1:11" x14ac:dyDescent="0.25">
      <c r="A38" s="4">
        <f>IF($B$7&gt;=18,18,"")</f>
        <v>18</v>
      </c>
      <c r="B38" s="4">
        <f>IF($B$7&gt;=18,2026+18,"")</f>
        <v>2044</v>
      </c>
      <c r="C38" s="14">
        <f>IF($B$7&gt;=18,0.25*$B$6*$B$5*(1+$B$6)^(18-1),"")</f>
        <v>475.50570661783655</v>
      </c>
      <c r="D38" s="14">
        <f>IF($B$7&gt;=18,SUM($C$21:C38)-$B$8,"")</f>
        <v>4683.2339713313149</v>
      </c>
      <c r="E38" s="14">
        <f>IF($B$7&gt;=18,(18-1)*0.25*$B$6*$B$5*(1+$B$6)^(18-1)-$B$8*(1+$B$6)^18,"")</f>
        <v>4964.2795770902148</v>
      </c>
      <c r="F38" s="14">
        <f>IF($B$7&gt;=18,$B$5*(1+$B$6)^18,"")</f>
        <v>77982.935885325205</v>
      </c>
      <c r="G38" s="14">
        <f>IF($B$7&gt;=18,(3/12)*$B$5*(1+$B$6)^(18-1),"")</f>
        <v>19020.228264713463</v>
      </c>
      <c r="H38" s="14">
        <f>IF($B$7&gt;=18,(9/12)*$B$5*(1+$B$6)^18,"")</f>
        <v>58487.2019139939</v>
      </c>
      <c r="I38" s="14">
        <f>IF($B$7&gt;=18,G38+H38,"")</f>
        <v>77507.430178707364</v>
      </c>
      <c r="J38" s="14">
        <f>IF($B$7&gt;=18,$B$8*(1+$B$6)^18,"")</f>
        <v>3119.3174354130078</v>
      </c>
      <c r="K38" s="14">
        <f>IF($B$7&gt;=18,(18-1)*0.25*$B$6*$B$5*(1+$B$6)^(18-1),"")</f>
        <v>8083.5970125032227</v>
      </c>
    </row>
    <row r="39" spans="1:11" x14ac:dyDescent="0.25">
      <c r="A39" s="4">
        <f>IF($B$7&gt;=19,19,"")</f>
        <v>19</v>
      </c>
      <c r="B39" s="4">
        <f>IF($B$7&gt;=19,2026+19,"")</f>
        <v>2045</v>
      </c>
      <c r="C39" s="14">
        <f>IF($B$7&gt;=19,0.25*$B$6*$B$5*(1+$B$6)^(19-1),"")</f>
        <v>487.39334928328248</v>
      </c>
      <c r="D39" s="14">
        <f>IF($B$7&gt;=19,SUM($C$21:C39)-$B$8,"")</f>
        <v>5170.627320614597</v>
      </c>
      <c r="E39" s="14">
        <f>IF($B$7&gt;=19,(19-1)*0.25*$B$6*$B$5*(1+$B$6)^(19-1)-$B$8*(1+$B$6)^19,"")</f>
        <v>5575.779915800751</v>
      </c>
      <c r="F39" s="14">
        <f>IF($B$7&gt;=19,$B$5*(1+$B$6)^19,"")</f>
        <v>79932.509282458326</v>
      </c>
      <c r="G39" s="14">
        <f>IF($B$7&gt;=19,(3/12)*$B$5*(1+$B$6)^(19-1),"")</f>
        <v>19495.733971331301</v>
      </c>
      <c r="H39" s="14">
        <f>IF($B$7&gt;=19,(9/12)*$B$5*(1+$B$6)^19,"")</f>
        <v>59949.381961843748</v>
      </c>
      <c r="I39" s="14">
        <f>IF($B$7&gt;=19,G39+H39,"")</f>
        <v>79445.115933175053</v>
      </c>
      <c r="J39" s="14">
        <f>IF($B$7&gt;=19,$B$8*(1+$B$6)^19,"")</f>
        <v>3197.3003712983332</v>
      </c>
      <c r="K39" s="14">
        <f>IF($B$7&gt;=19,(19-1)*0.25*$B$6*$B$5*(1+$B$6)^(19-1),"")</f>
        <v>8773.0802870990847</v>
      </c>
    </row>
    <row r="40" spans="1:11" x14ac:dyDescent="0.25">
      <c r="A40" s="4">
        <f>IF($B$7&gt;=20,20,"")</f>
        <v>20</v>
      </c>
      <c r="B40" s="4">
        <f>IF($B$7&gt;=20,2026+20,"")</f>
        <v>2046</v>
      </c>
      <c r="C40" s="14">
        <f>IF($B$7&gt;=20,0.25*$B$6*$B$5*(1+$B$6)^(20-1),"")</f>
        <v>499.57818301536457</v>
      </c>
      <c r="D40" s="14">
        <f>IF($B$7&gt;=20,SUM($C$21:C40)-$B$8,"")</f>
        <v>5670.2055036299616</v>
      </c>
      <c r="E40" s="14">
        <f>IF($B$7&gt;=20,(20-1)*0.25*$B$6*$B$5*(1+$B$6)^(20-1)-$B$8*(1+$B$6)^20,"")</f>
        <v>6214.7525967111351</v>
      </c>
      <c r="F40" s="14">
        <f>IF($B$7&gt;=20,$B$5*(1+$B$6)^20,"")</f>
        <v>81930.82201451977</v>
      </c>
      <c r="G40" s="14">
        <f>IF($B$7&gt;=20,(3/12)*$B$5*(1+$B$6)^(20-1),"")</f>
        <v>19983.127320614582</v>
      </c>
      <c r="H40" s="14">
        <f>IF($B$7&gt;=20,(9/12)*$B$5*(1+$B$6)^20,"")</f>
        <v>61448.116510889835</v>
      </c>
      <c r="I40" s="14">
        <f>IF($B$7&gt;=20,G40+H40,"")</f>
        <v>81431.243831504413</v>
      </c>
      <c r="J40" s="14">
        <f>IF($B$7&gt;=20,$B$8*(1+$B$6)^20,"")</f>
        <v>3277.2328805807911</v>
      </c>
      <c r="K40" s="14">
        <f>IF($B$7&gt;=20,(20-1)*0.25*$B$6*$B$5*(1+$B$6)^(20-1),"")</f>
        <v>9491.9854772919261</v>
      </c>
    </row>
    <row r="41" spans="1:11" x14ac:dyDescent="0.25">
      <c r="A41" s="4">
        <f>IF($B$7&gt;=21,21,"")</f>
        <v>21</v>
      </c>
      <c r="B41" s="4">
        <f>IF($B$7&gt;=21,2026+21,"")</f>
        <v>2047</v>
      </c>
      <c r="C41" s="14">
        <f>IF($B$7&gt;=21,0.25*$B$6*$B$5*(1+$B$6)^(21-1),"")</f>
        <v>512.06763759074863</v>
      </c>
      <c r="D41" s="14">
        <f>IF($B$7&gt;=21,SUM($C$21:C41)-$B$8,"")</f>
        <v>6182.2731412207104</v>
      </c>
      <c r="E41" s="14">
        <f>IF($B$7&gt;=21,(21-1)*0.25*$B$6*$B$5*(1+$B$6)^(21-1)-$B$8*(1+$B$6)^21,"")</f>
        <v>6882.1890492196608</v>
      </c>
      <c r="F41" s="14">
        <f>IF($B$7&gt;=21,$B$5*(1+$B$6)^21,"")</f>
        <v>83979.092564882769</v>
      </c>
      <c r="G41" s="14">
        <f>IF($B$7&gt;=21,(3/12)*$B$5*(1+$B$6)^(21-1),"")</f>
        <v>20482.705503629943</v>
      </c>
      <c r="H41" s="14">
        <f>IF($B$7&gt;=21,(9/12)*$B$5*(1+$B$6)^21,"")</f>
        <v>62984.319423662069</v>
      </c>
      <c r="I41" s="14">
        <f>IF($B$7&gt;=21,G41+H41,"")</f>
        <v>83467.024927292019</v>
      </c>
      <c r="J41" s="14">
        <f>IF($B$7&gt;=21,$B$8*(1+$B$6)^21,"")</f>
        <v>3359.1637025953105</v>
      </c>
      <c r="K41" s="14">
        <f>IF($B$7&gt;=21,(21-1)*0.25*$B$6*$B$5*(1+$B$6)^(21-1),"")</f>
        <v>10241.352751814971</v>
      </c>
    </row>
    <row r="42" spans="1:11" x14ac:dyDescent="0.25">
      <c r="A42" s="4">
        <f>IF($B$7&gt;=22,22,"")</f>
        <v>22</v>
      </c>
      <c r="B42" s="4">
        <f>IF($B$7&gt;=22,2026+22,"")</f>
        <v>2048</v>
      </c>
      <c r="C42" s="14">
        <f>IF($B$7&gt;=22,0.25*$B$6*$B$5*(1+$B$6)^(22-1),"")</f>
        <v>524.86932853051724</v>
      </c>
      <c r="D42" s="14">
        <f>IF($B$7&gt;=22,SUM($C$21:C42)-$B$8,"")</f>
        <v>6707.1424697512284</v>
      </c>
      <c r="E42" s="14">
        <f>IF($B$7&gt;=22,(22-1)*0.25*$B$6*$B$5*(1+$B$6)^(22-1)-$B$8*(1+$B$6)^22,"")</f>
        <v>7579.1131039806696</v>
      </c>
      <c r="F42" s="14">
        <f>IF($B$7&gt;=22,$B$5*(1+$B$6)^22,"")</f>
        <v>86078.569879004834</v>
      </c>
      <c r="G42" s="14">
        <f>IF($B$7&gt;=22,(3/12)*$B$5*(1+$B$6)^(22-1),"")</f>
        <v>20994.773141220692</v>
      </c>
      <c r="H42" s="14">
        <f>IF($B$7&gt;=22,(9/12)*$B$5*(1+$B$6)^22,"")</f>
        <v>64558.927409253622</v>
      </c>
      <c r="I42" s="14">
        <f>IF($B$7&gt;=22,G42+H42,"")</f>
        <v>85553.700550474314</v>
      </c>
      <c r="J42" s="14">
        <f>IF($B$7&gt;=22,$B$8*(1+$B$6)^22,"")</f>
        <v>3443.1427951601931</v>
      </c>
      <c r="K42" s="14">
        <f>IF($B$7&gt;=22,(22-1)*0.25*$B$6*$B$5*(1+$B$6)^(22-1),"")</f>
        <v>11022.255899140862</v>
      </c>
    </row>
    <row r="43" spans="1:11" x14ac:dyDescent="0.25">
      <c r="A43" s="4">
        <f>IF($B$7&gt;=23,23,"")</f>
        <v>23</v>
      </c>
      <c r="B43" s="4">
        <f>IF($B$7&gt;=23,2026+23,"")</f>
        <v>2049</v>
      </c>
      <c r="C43" s="14">
        <f>IF($B$7&gt;=23,0.25*$B$6*$B$5*(1+$B$6)^(23-1),"")</f>
        <v>537.99106174378016</v>
      </c>
      <c r="D43" s="14">
        <f>IF($B$7&gt;=23,SUM($C$21:C43)-$B$8,"")</f>
        <v>7245.1335314950084</v>
      </c>
      <c r="E43" s="14">
        <f>IF($B$7&gt;=23,(23-1)*0.25*$B$6*$B$5*(1+$B$6)^(23-1)-$B$8*(1+$B$6)^23,"")</f>
        <v>8306.5819933239673</v>
      </c>
      <c r="F43" s="14">
        <f>IF($B$7&gt;=23,$B$5*(1+$B$6)^23,"")</f>
        <v>88230.534125979961</v>
      </c>
      <c r="G43" s="14">
        <f>IF($B$7&gt;=23,(3/12)*$B$5*(1+$B$6)^(23-1),"")</f>
        <v>21519.642469751208</v>
      </c>
      <c r="H43" s="14">
        <f>IF($B$7&gt;=23,(9/12)*$B$5*(1+$B$6)^23,"")</f>
        <v>66172.900594484963</v>
      </c>
      <c r="I43" s="14">
        <f>IF($B$7&gt;=23,G43+H43,"")</f>
        <v>87692.543064236175</v>
      </c>
      <c r="J43" s="14">
        <f>IF($B$7&gt;=23,$B$8*(1+$B$6)^23,"")</f>
        <v>3529.2213650391982</v>
      </c>
      <c r="K43" s="14">
        <f>IF($B$7&gt;=23,(23-1)*0.25*$B$6*$B$5*(1+$B$6)^(23-1),"")</f>
        <v>11835.803358363166</v>
      </c>
    </row>
    <row r="44" spans="1:11" x14ac:dyDescent="0.25">
      <c r="A44" s="4">
        <f>IF($B$7&gt;=24,24,"")</f>
        <v>24</v>
      </c>
      <c r="B44" s="4">
        <f>IF($B$7&gt;=24,2026+24,"")</f>
        <v>2050</v>
      </c>
      <c r="C44" s="14">
        <f>IF($B$7&gt;=24,0.25*$B$6*$B$5*(1+$B$6)^(24-1),"")</f>
        <v>551.44083828737473</v>
      </c>
      <c r="D44" s="14">
        <f>IF($B$7&gt;=24,SUM($C$21:C44)-$B$8,"")</f>
        <v>7796.5743697823837</v>
      </c>
      <c r="E44" s="14">
        <f>IF($B$7&gt;=24,(24-1)*0.25*$B$6*$B$5*(1+$B$6)^(24-1)-$B$8*(1+$B$6)^24,"")</f>
        <v>9065.6873814444407</v>
      </c>
      <c r="F44" s="14">
        <f>IF($B$7&gt;=24,$B$5*(1+$B$6)^24,"")</f>
        <v>90436.29747912944</v>
      </c>
      <c r="G44" s="14">
        <f>IF($B$7&gt;=24,(3/12)*$B$5*(1+$B$6)^(24-1),"")</f>
        <v>22057.63353149499</v>
      </c>
      <c r="H44" s="14">
        <f>IF($B$7&gt;=24,(9/12)*$B$5*(1+$B$6)^24,"")</f>
        <v>67827.223109347091</v>
      </c>
      <c r="I44" s="14">
        <f>IF($B$7&gt;=24,G44+H44,"")</f>
        <v>89884.856640842074</v>
      </c>
      <c r="J44" s="14">
        <f>IF($B$7&gt;=24,$B$8*(1+$B$6)^24,"")</f>
        <v>3617.451899165178</v>
      </c>
      <c r="K44" s="14">
        <f>IF($B$7&gt;=24,(24-1)*0.25*$B$6*$B$5*(1+$B$6)^(24-1),"")</f>
        <v>12683.139280609619</v>
      </c>
    </row>
    <row r="45" spans="1:11" x14ac:dyDescent="0.25">
      <c r="A45" s="4">
        <f>IF($B$7&gt;=25,25,"")</f>
        <v>25</v>
      </c>
      <c r="B45" s="4">
        <f>IF($B$7&gt;=25,2026+25,"")</f>
        <v>2051</v>
      </c>
      <c r="C45" s="14">
        <f>IF($B$7&gt;=25,0.25*$B$6*$B$5*(1+$B$6)^(25-1),"")</f>
        <v>565.22685924455902</v>
      </c>
      <c r="D45" s="14">
        <f>IF($B$7&gt;=25,SUM($C$21:C45)-$B$8,"")</f>
        <v>8361.8012290269435</v>
      </c>
      <c r="E45" s="14">
        <f>IF($B$7&gt;=25,(25-1)*0.25*$B$6*$B$5*(1+$B$6)^(25-1)-$B$8*(1+$B$6)^25,"")</f>
        <v>9857.5564252251133</v>
      </c>
      <c r="F45" s="14">
        <f>IF($B$7&gt;=25,$B$5*(1+$B$6)^25,"")</f>
        <v>92697.204916107672</v>
      </c>
      <c r="G45" s="14">
        <f>IF($B$7&gt;=25,(3/12)*$B$5*(1+$B$6)^(25-1),"")</f>
        <v>22609.07436978236</v>
      </c>
      <c r="H45" s="14">
        <f>IF($B$7&gt;=25,(9/12)*$B$5*(1+$B$6)^25,"")</f>
        <v>69522.903687080747</v>
      </c>
      <c r="I45" s="14">
        <f>IF($B$7&gt;=25,G45+H45,"")</f>
        <v>92131.97805686311</v>
      </c>
      <c r="J45" s="14">
        <f>IF($B$7&gt;=25,$B$8*(1+$B$6)^25,"")</f>
        <v>3707.8881966443068</v>
      </c>
      <c r="K45" s="14">
        <f>IF($B$7&gt;=25,(25-1)*0.25*$B$6*$B$5*(1+$B$6)^(25-1),"")</f>
        <v>13565.444621869419</v>
      </c>
    </row>
    <row r="46" spans="1:11" x14ac:dyDescent="0.25">
      <c r="A46" s="4">
        <f>IF($B$7&gt;=26,26,"")</f>
        <v>26</v>
      </c>
      <c r="B46" s="4">
        <f>IF($B$7&gt;=26,2026+26,"")</f>
        <v>2052</v>
      </c>
      <c r="C46" s="14">
        <f>IF($B$7&gt;=26,0.25*$B$6*$B$5*(1+$B$6)^(26-1),"")</f>
        <v>579.35753072567297</v>
      </c>
      <c r="D46" s="14">
        <f>IF($B$7&gt;=26,SUM($C$21:C46)-$B$8,"")</f>
        <v>8941.1587597526159</v>
      </c>
      <c r="E46" s="14">
        <f>IF($B$7&gt;=26,(26-1)*0.25*$B$6*$B$5*(1+$B$6)^(26-1)-$B$8*(1+$B$6)^26,"")</f>
        <v>10683.352866581408</v>
      </c>
      <c r="F46" s="14">
        <f>IF($B$7&gt;=26,$B$5*(1+$B$6)^26,"")</f>
        <v>95014.635039010347</v>
      </c>
      <c r="G46" s="14">
        <f>IF($B$7&gt;=26,(3/12)*$B$5*(1+$B$6)^(26-1),"")</f>
        <v>23174.301229026918</v>
      </c>
      <c r="H46" s="14">
        <f>IF($B$7&gt;=26,(9/12)*$B$5*(1+$B$6)^26,"")</f>
        <v>71260.976279257768</v>
      </c>
      <c r="I46" s="14">
        <f>IF($B$7&gt;=26,G46+H46,"")</f>
        <v>94435.277508284693</v>
      </c>
      <c r="J46" s="14">
        <f>IF($B$7&gt;=26,$B$8*(1+$B$6)^26,"")</f>
        <v>3800.5854015604141</v>
      </c>
      <c r="K46" s="14">
        <f>IF($B$7&gt;=26,(26-1)*0.25*$B$6*$B$5*(1+$B$6)^(26-1),"")</f>
        <v>14483.938268141823</v>
      </c>
    </row>
    <row r="47" spans="1:11" x14ac:dyDescent="0.25">
      <c r="A47" s="4">
        <f>IF($B$7&gt;=27,27,"")</f>
        <v>27</v>
      </c>
      <c r="B47" s="4">
        <f>IF($B$7&gt;=27,2026+27,"")</f>
        <v>2053</v>
      </c>
      <c r="C47" s="14">
        <f>IF($B$7&gt;=27,0.25*$B$6*$B$5*(1+$B$6)^(27-1),"")</f>
        <v>593.84146899381471</v>
      </c>
      <c r="D47" s="14">
        <f>IF($B$7&gt;=27,SUM($C$21:C47)-$B$8,"")</f>
        <v>9535.0002287464304</v>
      </c>
      <c r="E47" s="14">
        <f>IF($B$7&gt;=27,(27-1)*0.25*$B$6*$B$5*(1+$B$6)^(27-1)-$B$8*(1+$B$6)^27,"")</f>
        <v>11544.278157239758</v>
      </c>
      <c r="F47" s="14">
        <f>IF($B$7&gt;=27,$B$5*(1+$B$6)^27,"")</f>
        <v>97390.000914985605</v>
      </c>
      <c r="G47" s="14">
        <f>IF($B$7&gt;=27,(3/12)*$B$5*(1+$B$6)^(27-1),"")</f>
        <v>23753.658759752587</v>
      </c>
      <c r="H47" s="14">
        <f>IF($B$7&gt;=27,(9/12)*$B$5*(1+$B$6)^27,"")</f>
        <v>73042.500686239204</v>
      </c>
      <c r="I47" s="14">
        <f>IF($B$7&gt;=27,G47+H47,"")</f>
        <v>96796.159445991798</v>
      </c>
      <c r="J47" s="14">
        <f>IF($B$7&gt;=27,$B$8*(1+$B$6)^27,"")</f>
        <v>3895.6000365994241</v>
      </c>
      <c r="K47" s="14">
        <f>IF($B$7&gt;=27,(27-1)*0.25*$B$6*$B$5*(1+$B$6)^(27-1),"")</f>
        <v>15439.878193839182</v>
      </c>
    </row>
    <row r="48" spans="1:11" x14ac:dyDescent="0.25">
      <c r="A48" s="4">
        <f>IF($B$7&gt;=28,28,"")</f>
        <v>28</v>
      </c>
      <c r="B48" s="4">
        <f>IF($B$7&gt;=28,2026+28,"")</f>
        <v>2054</v>
      </c>
      <c r="C48" s="14">
        <f>IF($B$7&gt;=28,0.25*$B$6*$B$5*(1+$B$6)^(28-1),"")</f>
        <v>608.68750571866008</v>
      </c>
      <c r="D48" s="14">
        <f>IF($B$7&gt;=28,SUM($C$21:C48)-$B$8,"")</f>
        <v>10143.687734465091</v>
      </c>
      <c r="E48" s="14">
        <f>IF($B$7&gt;=28,(28-1)*0.25*$B$6*$B$5*(1+$B$6)^(28-1)-$B$8*(1+$B$6)^28,"")</f>
        <v>12441.572616889411</v>
      </c>
      <c r="F48" s="14">
        <f>IF($B$7&gt;=28,$B$5*(1+$B$6)^28,"")</f>
        <v>99824.750937860241</v>
      </c>
      <c r="G48" s="14">
        <f>IF($B$7&gt;=28,(3/12)*$B$5*(1+$B$6)^(28-1),"")</f>
        <v>24347.500228746401</v>
      </c>
      <c r="H48" s="14">
        <f>IF($B$7&gt;=28,(9/12)*$B$5*(1+$B$6)^28,"")</f>
        <v>74868.563203395184</v>
      </c>
      <c r="I48" s="14">
        <f>IF($B$7&gt;=28,G48+H48,"")</f>
        <v>99216.063432141586</v>
      </c>
      <c r="J48" s="14">
        <f>IF($B$7&gt;=28,$B$8*(1+$B$6)^28,"")</f>
        <v>3992.9900375144098</v>
      </c>
      <c r="K48" s="14">
        <f>IF($B$7&gt;=28,(28-1)*0.25*$B$6*$B$5*(1+$B$6)^(28-1),"")</f>
        <v>16434.56265440382</v>
      </c>
    </row>
    <row r="49" spans="1:11" x14ac:dyDescent="0.25">
      <c r="A49" s="4">
        <f>IF($B$7&gt;=29,29,"")</f>
        <v>29</v>
      </c>
      <c r="B49" s="4">
        <f>IF($B$7&gt;=29,2026+29,"")</f>
        <v>2055</v>
      </c>
      <c r="C49" s="14">
        <f>IF($B$7&gt;=29,0.25*$B$6*$B$5*(1+$B$6)^(29-1),"")</f>
        <v>623.90469336162653</v>
      </c>
      <c r="D49" s="14">
        <f>IF($B$7&gt;=29,SUM($C$21:C49)-$B$8,"")</f>
        <v>10767.592427826718</v>
      </c>
      <c r="E49" s="14">
        <f>IF($B$7&gt;=29,(29-1)*0.25*$B$6*$B$5*(1+$B$6)^(29-1)-$B$8*(1+$B$6)^29,"")</f>
        <v>13376.516625673274</v>
      </c>
      <c r="F49" s="14">
        <f>IF($B$7&gt;=29,$B$5*(1+$B$6)^29,"")</f>
        <v>102320.36971130676</v>
      </c>
      <c r="G49" s="14">
        <f>IF($B$7&gt;=29,(3/12)*$B$5*(1+$B$6)^(29-1),"")</f>
        <v>24956.18773446506</v>
      </c>
      <c r="H49" s="14">
        <f>IF($B$7&gt;=29,(9/12)*$B$5*(1+$B$6)^29,"")</f>
        <v>76740.277283480071</v>
      </c>
      <c r="I49" s="14">
        <f>IF($B$7&gt;=29,G49+H49,"")</f>
        <v>101696.46501794513</v>
      </c>
      <c r="J49" s="14">
        <f>IF($B$7&gt;=29,$B$8*(1+$B$6)^29,"")</f>
        <v>4092.8147884522705</v>
      </c>
      <c r="K49" s="14">
        <f>IF($B$7&gt;=29,(29-1)*0.25*$B$6*$B$5*(1+$B$6)^(29-1),"")</f>
        <v>17469.331414125543</v>
      </c>
    </row>
    <row r="50" spans="1:11" x14ac:dyDescent="0.25">
      <c r="A50" s="4">
        <f>IF($B$7&gt;=30,30,"")</f>
        <v>30</v>
      </c>
      <c r="B50" s="4">
        <f>IF($B$7&gt;=30,2026+30,"")</f>
        <v>2056</v>
      </c>
      <c r="C50" s="14">
        <f>IF($B$7&gt;=30,0.25*$B$6*$B$5*(1+$B$6)^(30-1),"")</f>
        <v>639.50231069566723</v>
      </c>
      <c r="D50" s="14">
        <f>IF($B$7&gt;=30,SUM($C$21:C50)-$B$8,"")</f>
        <v>11407.094738522384</v>
      </c>
      <c r="E50" s="14">
        <f>IF($B$7&gt;=30,(30-1)*0.25*$B$6*$B$5*(1+$B$6)^(30-1)-$B$8*(1+$B$6)^30,"")</f>
        <v>14350.431852010777</v>
      </c>
      <c r="F50" s="14">
        <f>IF($B$7&gt;=30,$B$5*(1+$B$6)^30,"")</f>
        <v>104878.37895408941</v>
      </c>
      <c r="G50" s="14">
        <f>IF($B$7&gt;=30,(3/12)*$B$5*(1+$B$6)^(30-1),"")</f>
        <v>25580.09242782669</v>
      </c>
      <c r="H50" s="14">
        <f>IF($B$7&gt;=30,(9/12)*$B$5*(1+$B$6)^30,"")</f>
        <v>78658.784215567051</v>
      </c>
      <c r="I50" s="14">
        <f>IF($B$7&gt;=30,G50+H50,"")</f>
        <v>104238.87664339374</v>
      </c>
      <c r="J50" s="14">
        <f>IF($B$7&gt;=30,$B$8*(1+$B$6)^30,"")</f>
        <v>4195.1351581635763</v>
      </c>
      <c r="K50" s="14">
        <f>IF($B$7&gt;=30,(30-1)*0.25*$B$6*$B$5*(1+$B$6)^(30-1),"")</f>
        <v>18545.567010174353</v>
      </c>
    </row>
    <row r="51" spans="1:11" x14ac:dyDescent="0.25">
      <c r="A51" s="4">
        <f>IF($B$7&gt;=31,31,"")</f>
        <v>31</v>
      </c>
      <c r="B51" s="4">
        <f>IF($B$7&gt;=31,2026+31,"")</f>
        <v>2057</v>
      </c>
      <c r="C51" s="14">
        <f>IF($B$7&gt;=31,0.25*$B$6*$B$5*(1+$B$6)^(31-1),"")</f>
        <v>655.48986846305877</v>
      </c>
      <c r="D51" s="14">
        <f>IF($B$7&gt;=31,SUM($C$21:C51)-$B$8,"")</f>
        <v>12062.584606985443</v>
      </c>
      <c r="E51" s="14">
        <f>IF($B$7&gt;=31,(31-1)*0.25*$B$6*$B$5*(1+$B$6)^(31-1)-$B$8*(1+$B$6)^31,"")</f>
        <v>15364.682516774097</v>
      </c>
      <c r="F51" s="14">
        <f>IF($B$7&gt;=31,$B$5*(1+$B$6)^31,"")</f>
        <v>107500.33842794166</v>
      </c>
      <c r="G51" s="14">
        <f>IF($B$7&gt;=31,(3/12)*$B$5*(1+$B$6)^(31-1),"")</f>
        <v>26219.594738522352</v>
      </c>
      <c r="H51" s="14">
        <f>IF($B$7&gt;=31,(9/12)*$B$5*(1+$B$6)^31,"")</f>
        <v>80625.253820956248</v>
      </c>
      <c r="I51" s="14">
        <f>IF($B$7&gt;=31,G51+H51,"")</f>
        <v>106844.8485594786</v>
      </c>
      <c r="J51" s="14">
        <f>IF($B$7&gt;=31,$B$8*(1+$B$6)^31,"")</f>
        <v>4300.0135371176666</v>
      </c>
      <c r="K51" s="14">
        <f>IF($B$7&gt;=31,(31-1)*0.25*$B$6*$B$5*(1+$B$6)^(31-1),"")</f>
        <v>19664.696053891763</v>
      </c>
    </row>
    <row r="52" spans="1:11" x14ac:dyDescent="0.25">
      <c r="A52" s="4">
        <f>IF($B$7&gt;=32,32,"")</f>
        <v>32</v>
      </c>
      <c r="B52" s="4">
        <f>IF($B$7&gt;=32,2026+32,"")</f>
        <v>2058</v>
      </c>
      <c r="C52" s="14">
        <f>IF($B$7&gt;=32,0.25*$B$6*$B$5*(1+$B$6)^(32-1),"")</f>
        <v>671.87711517463538</v>
      </c>
      <c r="D52" s="14">
        <f>IF($B$7&gt;=32,SUM($C$21:C52)-$B$8,"")</f>
        <v>12734.461722160078</v>
      </c>
      <c r="E52" s="14">
        <f>IF($B$7&gt;=32,(32-1)*0.25*$B$6*$B$5*(1+$B$6)^(32-1)-$B$8*(1+$B$6)^32,"")</f>
        <v>16420.676694868092</v>
      </c>
      <c r="F52" s="14">
        <f>IF($B$7&gt;=32,$B$5*(1+$B$6)^32,"")</f>
        <v>110187.84688864018</v>
      </c>
      <c r="G52" s="14">
        <f>IF($B$7&gt;=32,(3/12)*$B$5*(1+$B$6)^(32-1),"")</f>
        <v>26875.084606985416</v>
      </c>
      <c r="H52" s="14">
        <f>IF($B$7&gt;=32,(9/12)*$B$5*(1+$B$6)^32,"")</f>
        <v>82640.885166480133</v>
      </c>
      <c r="I52" s="14">
        <f>IF($B$7&gt;=32,G52+H52,"")</f>
        <v>109515.96977346555</v>
      </c>
      <c r="J52" s="14">
        <f>IF($B$7&gt;=32,$B$8*(1+$B$6)^32,"")</f>
        <v>4407.5138755456073</v>
      </c>
      <c r="K52" s="14">
        <f>IF($B$7&gt;=32,(32-1)*0.25*$B$6*$B$5*(1+$B$6)^(32-1),"")</f>
        <v>20828.190570413699</v>
      </c>
    </row>
    <row r="53" spans="1:11" x14ac:dyDescent="0.25">
      <c r="A53" s="4">
        <f>IF($B$7&gt;=33,33,"")</f>
        <v>33</v>
      </c>
      <c r="B53" s="4">
        <f>IF($B$7&gt;=33,2026+33,"")</f>
        <v>2059</v>
      </c>
      <c r="C53" s="14">
        <f>IF($B$7&gt;=33,0.25*$B$6*$B$5*(1+$B$6)^(33-1),"")</f>
        <v>688.67404305400112</v>
      </c>
      <c r="D53" s="14">
        <f>IF($B$7&gt;=33,SUM($C$21:C53)-$B$8,"")</f>
        <v>13423.13576521408</v>
      </c>
      <c r="E53" s="14">
        <f>IF($B$7&gt;=33,(33-1)*0.25*$B$6*$B$5*(1+$B$6)^(33-1)-$B$8*(1+$B$6)^33,"")</f>
        <v>17519.86765529379</v>
      </c>
      <c r="F53" s="14">
        <f>IF($B$7&gt;=33,$B$5*(1+$B$6)^33,"")</f>
        <v>112942.54306085619</v>
      </c>
      <c r="G53" s="14">
        <f>IF($B$7&gt;=33,(3/12)*$B$5*(1+$B$6)^(33-1),"")</f>
        <v>27546.961722160046</v>
      </c>
      <c r="H53" s="14">
        <f>IF($B$7&gt;=33,(9/12)*$B$5*(1+$B$6)^33,"")</f>
        <v>84706.90729564213</v>
      </c>
      <c r="I53" s="14">
        <f>IF($B$7&gt;=33,G53+H53,"")</f>
        <v>112253.86901780218</v>
      </c>
      <c r="J53" s="14">
        <f>IF($B$7&gt;=33,$B$8*(1+$B$6)^33,"")</f>
        <v>4517.7017224342471</v>
      </c>
      <c r="K53" s="14">
        <f>IF($B$7&gt;=33,(33-1)*0.25*$B$6*$B$5*(1+$B$6)^(33-1),"")</f>
        <v>22037.569377728036</v>
      </c>
    </row>
    <row r="54" spans="1:11" x14ac:dyDescent="0.25">
      <c r="A54" s="4" t="str">
        <f>IF($B$7&gt;=34,34,"")</f>
        <v/>
      </c>
      <c r="B54" s="4" t="str">
        <f>IF($B$7&gt;=34,2026+34,"")</f>
        <v/>
      </c>
      <c r="C54" s="14" t="str">
        <f>IF($B$7&gt;=34,0.25*$B$6*$B$5*(1+$B$6)^(34-1),"")</f>
        <v/>
      </c>
      <c r="D54" s="14" t="str">
        <f>IF($B$7&gt;=34,SUM($C$21:C54)-$B$8,"")</f>
        <v/>
      </c>
      <c r="E54" s="14" t="str">
        <f>IF($B$7&gt;=34,(34-1)*0.25*$B$6*$B$5*(1+$B$6)^(34-1)-$B$8*(1+$B$6)^34,"")</f>
        <v/>
      </c>
      <c r="F54" s="14" t="str">
        <f>IF($B$7&gt;=34,$B$5*(1+$B$6)^34,"")</f>
        <v/>
      </c>
      <c r="G54" s="14" t="str">
        <f>IF($B$7&gt;=34,(3/12)*$B$5*(1+$B$6)^(34-1),"")</f>
        <v/>
      </c>
      <c r="H54" s="14" t="str">
        <f>IF($B$7&gt;=34,(9/12)*$B$5*(1+$B$6)^34,"")</f>
        <v/>
      </c>
      <c r="I54" s="14" t="str">
        <f>IF($B$7&gt;=34,G54+H54,"")</f>
        <v/>
      </c>
      <c r="J54" s="14" t="str">
        <f>IF($B$7&gt;=34,$B$8*(1+$B$6)^34,"")</f>
        <v/>
      </c>
      <c r="K54" s="14" t="str">
        <f>IF($B$7&gt;=34,(34-1)*0.25*$B$6*$B$5*(1+$B$6)^(34-1),"")</f>
        <v/>
      </c>
    </row>
    <row r="55" spans="1:11" x14ac:dyDescent="0.25">
      <c r="A55" s="4" t="str">
        <f>IF($B$7&gt;=35,35,"")</f>
        <v/>
      </c>
      <c r="B55" s="4" t="str">
        <f>IF($B$7&gt;=35,2026+35,"")</f>
        <v/>
      </c>
      <c r="C55" s="14" t="str">
        <f>IF($B$7&gt;=35,0.25*$B$6*$B$5*(1+$B$6)^(35-1),"")</f>
        <v/>
      </c>
      <c r="D55" s="14" t="str">
        <f>IF($B$7&gt;=35,SUM($C$21:C55)-$B$8,"")</f>
        <v/>
      </c>
      <c r="E55" s="14" t="str">
        <f>IF($B$7&gt;=35,(35-1)*0.25*$B$6*$B$5*(1+$B$6)^(35-1)-$B$8*(1+$B$6)^35,"")</f>
        <v/>
      </c>
      <c r="F55" s="14" t="str">
        <f>IF($B$7&gt;=35,$B$5*(1+$B$6)^35,"")</f>
        <v/>
      </c>
      <c r="G55" s="14" t="str">
        <f>IF($B$7&gt;=35,(3/12)*$B$5*(1+$B$6)^(35-1),"")</f>
        <v/>
      </c>
      <c r="H55" s="14" t="str">
        <f>IF($B$7&gt;=35,(9/12)*$B$5*(1+$B$6)^35,"")</f>
        <v/>
      </c>
      <c r="I55" s="14" t="str">
        <f>IF($B$7&gt;=35,G55+H55,"")</f>
        <v/>
      </c>
      <c r="J55" s="14" t="str">
        <f>IF($B$7&gt;=35,$B$8*(1+$B$6)^35,"")</f>
        <v/>
      </c>
      <c r="K55" s="14" t="str">
        <f>IF($B$7&gt;=35,(35-1)*0.25*$B$6*$B$5*(1+$B$6)^(35-1),"")</f>
        <v/>
      </c>
    </row>
    <row r="56" spans="1:11" x14ac:dyDescent="0.25">
      <c r="A56" s="4" t="str">
        <f>IF($B$7&gt;=36,36,"")</f>
        <v/>
      </c>
      <c r="B56" s="4" t="str">
        <f>IF($B$7&gt;=36,2026+36,"")</f>
        <v/>
      </c>
      <c r="C56" s="14" t="str">
        <f>IF($B$7&gt;=36,0.25*$B$6*$B$5*(1+$B$6)^(36-1),"")</f>
        <v/>
      </c>
      <c r="D56" s="14" t="str">
        <f>IF($B$7&gt;=36,SUM($C$21:C56)-$B$8,"")</f>
        <v/>
      </c>
      <c r="E56" s="14" t="str">
        <f>IF($B$7&gt;=36,(36-1)*0.25*$B$6*$B$5*(1+$B$6)^(36-1)-$B$8*(1+$B$6)^36,"")</f>
        <v/>
      </c>
      <c r="F56" s="14" t="str">
        <f>IF($B$7&gt;=36,$B$5*(1+$B$6)^36,"")</f>
        <v/>
      </c>
      <c r="G56" s="14" t="str">
        <f>IF($B$7&gt;=36,(3/12)*$B$5*(1+$B$6)^(36-1),"")</f>
        <v/>
      </c>
      <c r="H56" s="14" t="str">
        <f>IF($B$7&gt;=36,(9/12)*$B$5*(1+$B$6)^36,"")</f>
        <v/>
      </c>
      <c r="I56" s="14" t="str">
        <f>IF($B$7&gt;=36,G56+H56,"")</f>
        <v/>
      </c>
      <c r="J56" s="14" t="str">
        <f>IF($B$7&gt;=36,$B$8*(1+$B$6)^36,"")</f>
        <v/>
      </c>
      <c r="K56" s="14" t="str">
        <f>IF($B$7&gt;=36,(36-1)*0.25*$B$6*$B$5*(1+$B$6)^(36-1),"")</f>
        <v/>
      </c>
    </row>
    <row r="57" spans="1:11" x14ac:dyDescent="0.25">
      <c r="A57" s="4" t="str">
        <f>IF($B$7&gt;=37,37,"")</f>
        <v/>
      </c>
      <c r="B57" s="4" t="str">
        <f>IF($B$7&gt;=37,2026+37,"")</f>
        <v/>
      </c>
      <c r="C57" s="14" t="str">
        <f>IF($B$7&gt;=37,0.25*$B$6*$B$5*(1+$B$6)^(37-1),"")</f>
        <v/>
      </c>
      <c r="D57" s="14" t="str">
        <f>IF($B$7&gt;=37,SUM($C$21:C57)-$B$8,"")</f>
        <v/>
      </c>
      <c r="E57" s="14" t="str">
        <f>IF($B$7&gt;=37,(37-1)*0.25*$B$6*$B$5*(1+$B$6)^(37-1)-$B$8*(1+$B$6)^37,"")</f>
        <v/>
      </c>
      <c r="F57" s="14" t="str">
        <f>IF($B$7&gt;=37,$B$5*(1+$B$6)^37,"")</f>
        <v/>
      </c>
      <c r="G57" s="14" t="str">
        <f>IF($B$7&gt;=37,(3/12)*$B$5*(1+$B$6)^(37-1),"")</f>
        <v/>
      </c>
      <c r="H57" s="14" t="str">
        <f>IF($B$7&gt;=37,(9/12)*$B$5*(1+$B$6)^37,"")</f>
        <v/>
      </c>
      <c r="I57" s="14" t="str">
        <f>IF($B$7&gt;=37,G57+H57,"")</f>
        <v/>
      </c>
      <c r="J57" s="14" t="str">
        <f>IF($B$7&gt;=37,$B$8*(1+$B$6)^37,"")</f>
        <v/>
      </c>
      <c r="K57" s="14" t="str">
        <f>IF($B$7&gt;=37,(37-1)*0.25*$B$6*$B$5*(1+$B$6)^(37-1),"")</f>
        <v/>
      </c>
    </row>
    <row r="58" spans="1:11" x14ac:dyDescent="0.25">
      <c r="A58" s="4" t="str">
        <f>IF($B$7&gt;=38,38,"")</f>
        <v/>
      </c>
      <c r="B58" s="4" t="str">
        <f>IF($B$7&gt;=38,2026+38,"")</f>
        <v/>
      </c>
      <c r="C58" s="14" t="str">
        <f>IF($B$7&gt;=38,0.25*$B$6*$B$5*(1+$B$6)^(38-1),"")</f>
        <v/>
      </c>
      <c r="D58" s="14" t="str">
        <f>IF($B$7&gt;=38,SUM($C$21:C58)-$B$8,"")</f>
        <v/>
      </c>
      <c r="E58" s="14" t="str">
        <f>IF($B$7&gt;=38,(38-1)*0.25*$B$6*$B$5*(1+$B$6)^(38-1)-$B$8*(1+$B$6)^38,"")</f>
        <v/>
      </c>
      <c r="F58" s="14" t="str">
        <f>IF($B$7&gt;=38,$B$5*(1+$B$6)^38,"")</f>
        <v/>
      </c>
      <c r="G58" s="14" t="str">
        <f>IF($B$7&gt;=38,(3/12)*$B$5*(1+$B$6)^(38-1),"")</f>
        <v/>
      </c>
      <c r="H58" s="14" t="str">
        <f>IF($B$7&gt;=38,(9/12)*$B$5*(1+$B$6)^38,"")</f>
        <v/>
      </c>
      <c r="I58" s="14" t="str">
        <f>IF($B$7&gt;=38,G58+H58,"")</f>
        <v/>
      </c>
      <c r="J58" s="14" t="str">
        <f>IF($B$7&gt;=38,$B$8*(1+$B$6)^38,"")</f>
        <v/>
      </c>
      <c r="K58" s="14" t="str">
        <f>IF($B$7&gt;=38,(38-1)*0.25*$B$6*$B$5*(1+$B$6)^(38-1),"")</f>
        <v/>
      </c>
    </row>
    <row r="59" spans="1:11" x14ac:dyDescent="0.25">
      <c r="A59" s="4" t="str">
        <f>IF($B$7&gt;=39,39,"")</f>
        <v/>
      </c>
      <c r="B59" s="4" t="str">
        <f>IF($B$7&gt;=39,2026+39,"")</f>
        <v/>
      </c>
      <c r="C59" s="14" t="str">
        <f>IF($B$7&gt;=39,0.25*$B$6*$B$5*(1+$B$6)^(39-1),"")</f>
        <v/>
      </c>
      <c r="D59" s="14" t="str">
        <f>IF($B$7&gt;=39,SUM($C$21:C59)-$B$8,"")</f>
        <v/>
      </c>
      <c r="E59" s="14" t="str">
        <f>IF($B$7&gt;=39,(39-1)*0.25*$B$6*$B$5*(1+$B$6)^(39-1)-$B$8*(1+$B$6)^39,"")</f>
        <v/>
      </c>
      <c r="F59" s="14" t="str">
        <f>IF($B$7&gt;=39,$B$5*(1+$B$6)^39,"")</f>
        <v/>
      </c>
      <c r="G59" s="14" t="str">
        <f>IF($B$7&gt;=39,(3/12)*$B$5*(1+$B$6)^(39-1),"")</f>
        <v/>
      </c>
      <c r="H59" s="14" t="str">
        <f>IF($B$7&gt;=39,(9/12)*$B$5*(1+$B$6)^39,"")</f>
        <v/>
      </c>
      <c r="I59" s="14" t="str">
        <f>IF($B$7&gt;=39,G59+H59,"")</f>
        <v/>
      </c>
      <c r="J59" s="14" t="str">
        <f>IF($B$7&gt;=39,$B$8*(1+$B$6)^39,"")</f>
        <v/>
      </c>
      <c r="K59" s="14" t="str">
        <f>IF($B$7&gt;=39,(39-1)*0.25*$B$6*$B$5*(1+$B$6)^(39-1),"")</f>
        <v/>
      </c>
    </row>
    <row r="60" spans="1:11" x14ac:dyDescent="0.25">
      <c r="A60" s="4" t="str">
        <f>IF($B$7&gt;=40,40,"")</f>
        <v/>
      </c>
      <c r="B60" s="4" t="str">
        <f>IF($B$7&gt;=40,2026+40,"")</f>
        <v/>
      </c>
      <c r="C60" s="14" t="str">
        <f>IF($B$7&gt;=40,0.25*$B$6*$B$5*(1+$B$6)^(40-1),"")</f>
        <v/>
      </c>
      <c r="D60" s="14" t="str">
        <f>IF($B$7&gt;=40,SUM($C$21:C60)-$B$8,"")</f>
        <v/>
      </c>
      <c r="E60" s="14" t="str">
        <f>IF($B$7&gt;=40,(40-1)*0.25*$B$6*$B$5*(1+$B$6)^(40-1)-$B$8*(1+$B$6)^40,"")</f>
        <v/>
      </c>
      <c r="F60" s="14" t="str">
        <f>IF($B$7&gt;=40,$B$5*(1+$B$6)^40,"")</f>
        <v/>
      </c>
      <c r="G60" s="14" t="str">
        <f>IF($B$7&gt;=40,(3/12)*$B$5*(1+$B$6)^(40-1),"")</f>
        <v/>
      </c>
      <c r="H60" s="14" t="str">
        <f>IF($B$7&gt;=40,(9/12)*$B$5*(1+$B$6)^40,"")</f>
        <v/>
      </c>
      <c r="I60" s="14" t="str">
        <f>IF($B$7&gt;=40,G60+H60,"")</f>
        <v/>
      </c>
      <c r="J60" s="14" t="str">
        <f>IF($B$7&gt;=40,$B$8*(1+$B$6)^40,"")</f>
        <v/>
      </c>
      <c r="K60" s="14" t="str">
        <f>IF($B$7&gt;=40,(40-1)*0.25*$B$6*$B$5*(1+$B$6)^(40-1),"")</f>
        <v/>
      </c>
    </row>
    <row r="61" spans="1:11" x14ac:dyDescent="0.25">
      <c r="A61" s="4" t="str">
        <f>IF($B$7&gt;=41,41,"")</f>
        <v/>
      </c>
      <c r="B61" s="4" t="str">
        <f>IF($B$7&gt;=41,2026+41,"")</f>
        <v/>
      </c>
      <c r="C61" s="14" t="str">
        <f>IF($B$7&gt;=41,0.25*$B$6*$B$5*(1+$B$6)^(41-1),"")</f>
        <v/>
      </c>
      <c r="D61" s="14" t="str">
        <f>IF($B$7&gt;=41,SUM($C$21:C61)-$B$8,"")</f>
        <v/>
      </c>
      <c r="E61" s="14" t="str">
        <f>IF($B$7&gt;=41,(41-1)*0.25*$B$6*$B$5*(1+$B$6)^(41-1)-$B$8*(1+$B$6)^41,"")</f>
        <v/>
      </c>
      <c r="F61" s="14" t="str">
        <f>IF($B$7&gt;=41,$B$5*(1+$B$6)^41,"")</f>
        <v/>
      </c>
      <c r="G61" s="14" t="str">
        <f>IF($B$7&gt;=41,(3/12)*$B$5*(1+$B$6)^(41-1),"")</f>
        <v/>
      </c>
      <c r="H61" s="14" t="str">
        <f>IF($B$7&gt;=41,(9/12)*$B$5*(1+$B$6)^41,"")</f>
        <v/>
      </c>
      <c r="I61" s="14" t="str">
        <f>IF($B$7&gt;=41,G61+H61,"")</f>
        <v/>
      </c>
      <c r="J61" s="14" t="str">
        <f>IF($B$7&gt;=41,$B$8*(1+$B$6)^41,"")</f>
        <v/>
      </c>
      <c r="K61" s="14" t="str">
        <f>IF($B$7&gt;=41,(41-1)*0.25*$B$6*$B$5*(1+$B$6)^(41-1),"")</f>
        <v/>
      </c>
    </row>
    <row r="62" spans="1:11" x14ac:dyDescent="0.25">
      <c r="A62" s="4" t="str">
        <f>IF($B$7&gt;=42,42,"")</f>
        <v/>
      </c>
      <c r="B62" s="4" t="str">
        <f>IF($B$7&gt;=42,2026+42,"")</f>
        <v/>
      </c>
      <c r="C62" s="14" t="str">
        <f>IF($B$7&gt;=42,0.25*$B$6*$B$5*(1+$B$6)^(42-1),"")</f>
        <v/>
      </c>
      <c r="D62" s="14" t="str">
        <f>IF($B$7&gt;=42,SUM($C$21:C62)-$B$8,"")</f>
        <v/>
      </c>
      <c r="E62" s="14" t="str">
        <f>IF($B$7&gt;=42,(42-1)*0.25*$B$6*$B$5*(1+$B$6)^(42-1)-$B$8*(1+$B$6)^42,"")</f>
        <v/>
      </c>
      <c r="F62" s="14" t="str">
        <f>IF($B$7&gt;=42,$B$5*(1+$B$6)^42,"")</f>
        <v/>
      </c>
      <c r="G62" s="14" t="str">
        <f>IF($B$7&gt;=42,(3/12)*$B$5*(1+$B$6)^(42-1),"")</f>
        <v/>
      </c>
      <c r="H62" s="14" t="str">
        <f>IF($B$7&gt;=42,(9/12)*$B$5*(1+$B$6)^42,"")</f>
        <v/>
      </c>
      <c r="I62" s="14" t="str">
        <f>IF($B$7&gt;=42,G62+H62,"")</f>
        <v/>
      </c>
      <c r="J62" s="14" t="str">
        <f>IF($B$7&gt;=42,$B$8*(1+$B$6)^42,"")</f>
        <v/>
      </c>
      <c r="K62" s="14" t="str">
        <f>IF($B$7&gt;=42,(42-1)*0.25*$B$6*$B$5*(1+$B$6)^(42-1),"")</f>
        <v/>
      </c>
    </row>
    <row r="63" spans="1:11" x14ac:dyDescent="0.25">
      <c r="A63" s="4" t="str">
        <f>IF($B$7&gt;=43,43,"")</f>
        <v/>
      </c>
      <c r="B63" s="4" t="str">
        <f>IF($B$7&gt;=43,2026+43,"")</f>
        <v/>
      </c>
      <c r="C63" s="5" t="str">
        <f>IF($B$7&gt;=43,0.25*$B$6*$B$5*(1+$B$6)^(43-1),"")</f>
        <v/>
      </c>
      <c r="D63" s="5" t="str">
        <f>IF($B$7&gt;=43,SUM($C$21:C63)-$B$8,"")</f>
        <v/>
      </c>
      <c r="E63" s="5" t="str">
        <f>IF($B$7&gt;=43,(43-1)*0.25*$B$6*$B$5*(1+$B$6)^(43-1)-$B$8*(1+$B$6)^43,"")</f>
        <v/>
      </c>
      <c r="F63" s="5" t="str">
        <f>IF($B$7&gt;=43,$B$5*(1+$B$6)^43,"")</f>
        <v/>
      </c>
      <c r="G63" s="5" t="str">
        <f>IF($B$7&gt;=43,(3/12)*$B$5*(1+$B$6)^(43-1),"")</f>
        <v/>
      </c>
      <c r="H63" s="5" t="str">
        <f>IF($B$7&gt;=43,(9/12)*$B$5*(1+$B$6)^43,"")</f>
        <v/>
      </c>
      <c r="I63" s="5" t="str">
        <f>IF($B$7&gt;=43,G63+H63,"")</f>
        <v/>
      </c>
      <c r="J63" s="5" t="str">
        <f>IF($B$7&gt;=43,$B$8*(1+$B$6)^43,"")</f>
        <v/>
      </c>
      <c r="K63" s="5" t="str">
        <f>IF($B$7&gt;=43,(43-1)*0.25*$B$6*$B$5*(1+$B$6)^(43-1),"")</f>
        <v/>
      </c>
    </row>
    <row r="64" spans="1:11" x14ac:dyDescent="0.25">
      <c r="A64" s="4" t="str">
        <f>IF($B$7&gt;=44,44,"")</f>
        <v/>
      </c>
      <c r="B64" s="4" t="str">
        <f>IF($B$7&gt;=44,2026+44,"")</f>
        <v/>
      </c>
      <c r="C64" s="5" t="str">
        <f>IF($B$7&gt;=44,0.25*$B$6*$B$5*(1+$B$6)^(44-1),"")</f>
        <v/>
      </c>
      <c r="D64" s="5" t="str">
        <f>IF($B$7&gt;=44,SUM($C$21:C64)-$B$8,"")</f>
        <v/>
      </c>
      <c r="E64" s="5" t="str">
        <f>IF($B$7&gt;=44,(44-1)*0.25*$B$6*$B$5*(1+$B$6)^(44-1)-$B$8*(1+$B$6)^44,"")</f>
        <v/>
      </c>
      <c r="F64" s="5" t="str">
        <f>IF($B$7&gt;=44,$B$5*(1+$B$6)^44,"")</f>
        <v/>
      </c>
      <c r="G64" s="5" t="str">
        <f>IF($B$7&gt;=44,(3/12)*$B$5*(1+$B$6)^(44-1),"")</f>
        <v/>
      </c>
      <c r="H64" s="5" t="str">
        <f>IF($B$7&gt;=44,(9/12)*$B$5*(1+$B$6)^44,"")</f>
        <v/>
      </c>
      <c r="I64" s="5" t="str">
        <f>IF($B$7&gt;=44,G64+H64,"")</f>
        <v/>
      </c>
      <c r="J64" s="5" t="str">
        <f>IF($B$7&gt;=44,$B$8*(1+$B$6)^44,"")</f>
        <v/>
      </c>
      <c r="K64" s="5" t="str">
        <f>IF($B$7&gt;=44,(44-1)*0.25*$B$6*$B$5*(1+$B$6)^(44-1),"")</f>
        <v/>
      </c>
    </row>
    <row r="65" spans="1:11" x14ac:dyDescent="0.25">
      <c r="A65" s="4" t="str">
        <f>IF($B$7&gt;=45,45,"")</f>
        <v/>
      </c>
      <c r="B65" s="4" t="str">
        <f>IF($B$7&gt;=45,2026+45,"")</f>
        <v/>
      </c>
      <c r="C65" s="5" t="str">
        <f>IF($B$7&gt;=45,0.25*$B$6*$B$5*(1+$B$6)^(45-1),"")</f>
        <v/>
      </c>
      <c r="D65" s="5" t="str">
        <f>IF($B$7&gt;=45,SUM($C$21:C65)-$B$8,"")</f>
        <v/>
      </c>
      <c r="E65" s="5" t="str">
        <f>IF($B$7&gt;=45,(45-1)*0.25*$B$6*$B$5*(1+$B$6)^(45-1)-$B$8*(1+$B$6)^45,"")</f>
        <v/>
      </c>
      <c r="F65" s="5" t="str">
        <f>IF($B$7&gt;=45,$B$5*(1+$B$6)^45,"")</f>
        <v/>
      </c>
      <c r="G65" s="5" t="str">
        <f>IF($B$7&gt;=45,(3/12)*$B$5*(1+$B$6)^(45-1),"")</f>
        <v/>
      </c>
      <c r="H65" s="5" t="str">
        <f>IF($B$7&gt;=45,(9/12)*$B$5*(1+$B$6)^45,"")</f>
        <v/>
      </c>
      <c r="I65" s="5" t="str">
        <f>IF($B$7&gt;=45,G65+H65,"")</f>
        <v/>
      </c>
      <c r="J65" s="5" t="str">
        <f>IF($B$7&gt;=45,$B$8*(1+$B$6)^45,"")</f>
        <v/>
      </c>
      <c r="K65" s="5" t="str">
        <f>IF($B$7&gt;=45,(45-1)*0.25*$B$6*$B$5*(1+$B$6)^(45-1),"")</f>
        <v/>
      </c>
    </row>
    <row r="66" spans="1:11" x14ac:dyDescent="0.25">
      <c r="A66" s="4" t="str">
        <f>IF($B$7&gt;=46,46,"")</f>
        <v/>
      </c>
      <c r="B66" s="4" t="str">
        <f>IF($B$7&gt;=46,2026+46,"")</f>
        <v/>
      </c>
      <c r="C66" s="5" t="str">
        <f>IF($B$7&gt;=46,0.25*$B$6*$B$5*(1+$B$6)^(46-1),"")</f>
        <v/>
      </c>
      <c r="D66" s="5" t="str">
        <f>IF($B$7&gt;=46,SUM($C$21:C66)-$B$8,"")</f>
        <v/>
      </c>
      <c r="E66" s="5" t="str">
        <f>IF($B$7&gt;=46,(46-1)*0.25*$B$6*$B$5*(1+$B$6)^(46-1)-$B$8*(1+$B$6)^46,"")</f>
        <v/>
      </c>
      <c r="F66" s="5" t="str">
        <f>IF($B$7&gt;=46,$B$5*(1+$B$6)^46,"")</f>
        <v/>
      </c>
      <c r="G66" s="5" t="str">
        <f>IF($B$7&gt;=46,(3/12)*$B$5*(1+$B$6)^(46-1),"")</f>
        <v/>
      </c>
      <c r="H66" s="5" t="str">
        <f>IF($B$7&gt;=46,(9/12)*$B$5*(1+$B$6)^46,"")</f>
        <v/>
      </c>
      <c r="I66" s="5" t="str">
        <f>IF($B$7&gt;=46,G66+H66,"")</f>
        <v/>
      </c>
      <c r="J66" s="5" t="str">
        <f>IF($B$7&gt;=46,$B$8*(1+$B$6)^46,"")</f>
        <v/>
      </c>
      <c r="K66" s="5" t="str">
        <f>IF($B$7&gt;=46,(46-1)*0.25*$B$6*$B$5*(1+$B$6)^(46-1),"")</f>
        <v/>
      </c>
    </row>
    <row r="67" spans="1:11" x14ac:dyDescent="0.25">
      <c r="A67" s="4" t="str">
        <f>IF($B$7&gt;=47,47,"")</f>
        <v/>
      </c>
      <c r="B67" s="4" t="str">
        <f>IF($B$7&gt;=47,2026+47,"")</f>
        <v/>
      </c>
      <c r="C67" s="5" t="str">
        <f>IF($B$7&gt;=47,0.25*$B$6*$B$5*(1+$B$6)^(47-1),"")</f>
        <v/>
      </c>
      <c r="D67" s="5" t="str">
        <f>IF($B$7&gt;=47,SUM($C$21:C67)-$B$8,"")</f>
        <v/>
      </c>
      <c r="E67" s="5" t="str">
        <f>IF($B$7&gt;=47,(47-1)*0.25*$B$6*$B$5*(1+$B$6)^(47-1)-$B$8*(1+$B$6)^47,"")</f>
        <v/>
      </c>
      <c r="F67" s="5" t="str">
        <f>IF($B$7&gt;=47,$B$5*(1+$B$6)^47,"")</f>
        <v/>
      </c>
      <c r="G67" s="5" t="str">
        <f>IF($B$7&gt;=47,(3/12)*$B$5*(1+$B$6)^(47-1),"")</f>
        <v/>
      </c>
      <c r="H67" s="5" t="str">
        <f>IF($B$7&gt;=47,(9/12)*$B$5*(1+$B$6)^47,"")</f>
        <v/>
      </c>
      <c r="I67" s="5" t="str">
        <f>IF($B$7&gt;=47,G67+H67,"")</f>
        <v/>
      </c>
      <c r="J67" s="5" t="str">
        <f>IF($B$7&gt;=47,$B$8*(1+$B$6)^47,"")</f>
        <v/>
      </c>
      <c r="K67" s="5" t="str">
        <f>IF($B$7&gt;=47,(47-1)*0.25*$B$6*$B$5*(1+$B$6)^(47-1),"")</f>
        <v/>
      </c>
    </row>
    <row r="68" spans="1:11" x14ac:dyDescent="0.25">
      <c r="A68" s="4" t="str">
        <f>IF($B$7&gt;=48,48,"")</f>
        <v/>
      </c>
      <c r="B68" s="4" t="str">
        <f>IF($B$7&gt;=48,2026+48,"")</f>
        <v/>
      </c>
      <c r="C68" s="5" t="str">
        <f>IF($B$7&gt;=48,0.25*$B$6*$B$5*(1+$B$6)^(48-1),"")</f>
        <v/>
      </c>
      <c r="D68" s="5" t="str">
        <f>IF($B$7&gt;=48,SUM($C$21:C68)-$B$8,"")</f>
        <v/>
      </c>
      <c r="E68" s="5" t="str">
        <f>IF($B$7&gt;=48,(48-1)*0.25*$B$6*$B$5*(1+$B$6)^(48-1)-$B$8*(1+$B$6)^48,"")</f>
        <v/>
      </c>
      <c r="F68" s="5" t="str">
        <f>IF($B$7&gt;=48,$B$5*(1+$B$6)^48,"")</f>
        <v/>
      </c>
      <c r="G68" s="5" t="str">
        <f>IF($B$7&gt;=48,(3/12)*$B$5*(1+$B$6)^(48-1),"")</f>
        <v/>
      </c>
      <c r="H68" s="5" t="str">
        <f>IF($B$7&gt;=48,(9/12)*$B$5*(1+$B$6)^48,"")</f>
        <v/>
      </c>
      <c r="I68" s="5" t="str">
        <f>IF($B$7&gt;=48,G68+H68,"")</f>
        <v/>
      </c>
      <c r="J68" s="5" t="str">
        <f>IF($B$7&gt;=48,$B$8*(1+$B$6)^48,"")</f>
        <v/>
      </c>
      <c r="K68" s="5" t="str">
        <f>IF($B$7&gt;=48,(48-1)*0.25*$B$6*$B$5*(1+$B$6)^(48-1),"")</f>
        <v/>
      </c>
    </row>
    <row r="69" spans="1:11" x14ac:dyDescent="0.25">
      <c r="A69" s="4" t="str">
        <f>IF($B$7&gt;=49,49,"")</f>
        <v/>
      </c>
      <c r="B69" s="4" t="str">
        <f>IF($B$7&gt;=49,2026+49,"")</f>
        <v/>
      </c>
      <c r="C69" s="5" t="str">
        <f>IF($B$7&gt;=49,0.25*$B$6*$B$5*(1+$B$6)^(49-1),"")</f>
        <v/>
      </c>
      <c r="D69" s="5" t="str">
        <f>IF($B$7&gt;=49,SUM($C$21:C69)-$B$8,"")</f>
        <v/>
      </c>
      <c r="E69" s="5" t="str">
        <f>IF($B$7&gt;=49,(49-1)*0.25*$B$6*$B$5*(1+$B$6)^(49-1)-$B$8*(1+$B$6)^49,"")</f>
        <v/>
      </c>
      <c r="F69" s="5" t="str">
        <f>IF($B$7&gt;=49,$B$5*(1+$B$6)^49,"")</f>
        <v/>
      </c>
      <c r="G69" s="5" t="str">
        <f>IF($B$7&gt;=49,(3/12)*$B$5*(1+$B$6)^(49-1),"")</f>
        <v/>
      </c>
      <c r="H69" s="5" t="str">
        <f>IF($B$7&gt;=49,(9/12)*$B$5*(1+$B$6)^49,"")</f>
        <v/>
      </c>
      <c r="I69" s="5" t="str">
        <f>IF($B$7&gt;=49,G69+H69,"")</f>
        <v/>
      </c>
      <c r="J69" s="5" t="str">
        <f>IF($B$7&gt;=49,$B$8*(1+$B$6)^49,"")</f>
        <v/>
      </c>
      <c r="K69" s="5" t="str">
        <f>IF($B$7&gt;=49,(49-1)*0.25*$B$6*$B$5*(1+$B$6)^(49-1),"")</f>
        <v/>
      </c>
    </row>
    <row r="70" spans="1:11" x14ac:dyDescent="0.25">
      <c r="A70" s="4" t="str">
        <f>IF($B$7&gt;=50,50,"")</f>
        <v/>
      </c>
      <c r="B70" s="4" t="str">
        <f>IF($B$7&gt;=50,2026+50,"")</f>
        <v/>
      </c>
      <c r="C70" s="5" t="str">
        <f>IF($B$7&gt;=50,0.25*$B$6*$B$5*(1+$B$6)^(50-1),"")</f>
        <v/>
      </c>
      <c r="D70" s="5" t="str">
        <f>IF($B$7&gt;=50,SUM($C$21:C70)-$B$8,"")</f>
        <v/>
      </c>
      <c r="E70" s="5" t="str">
        <f>IF($B$7&gt;=50,(50-1)*0.25*$B$6*$B$5*(1+$B$6)^(50-1)-$B$8*(1+$B$6)^50,"")</f>
        <v/>
      </c>
      <c r="F70" s="5" t="str">
        <f>IF($B$7&gt;=50,$B$5*(1+$B$6)^50,"")</f>
        <v/>
      </c>
      <c r="G70" s="5" t="str">
        <f>IF($B$7&gt;=50,(3/12)*$B$5*(1+$B$6)^(50-1),"")</f>
        <v/>
      </c>
      <c r="H70" s="5" t="str">
        <f>IF($B$7&gt;=50,(9/12)*$B$5*(1+$B$6)^50,"")</f>
        <v/>
      </c>
      <c r="I70" s="5" t="str">
        <f>IF($B$7&gt;=50,G70+H70,"")</f>
        <v/>
      </c>
      <c r="J70" s="5" t="str">
        <f>IF($B$7&gt;=50,$B$8*(1+$B$6)^50,"")</f>
        <v/>
      </c>
      <c r="K70" s="5" t="str">
        <f>IF($B$7&gt;=50,(50-1)*0.25*$B$6*$B$5*(1+$B$6)^(50-1),"")</f>
        <v/>
      </c>
    </row>
    <row r="71" spans="1:11" x14ac:dyDescent="0.25">
      <c r="A71" s="4" t="str">
        <f>IF($B$7&gt;=51,51,"")</f>
        <v/>
      </c>
      <c r="B71" s="4" t="str">
        <f>IF($B$7&gt;=51,2026+51,"")</f>
        <v/>
      </c>
      <c r="C71" s="5" t="str">
        <f>IF($B$7&gt;=51,0.25*$B$6*$B$5*(1+$B$6)^(51-1),"")</f>
        <v/>
      </c>
      <c r="D71" s="5" t="str">
        <f>IF($B$7&gt;=51,SUM($C$21:C71)-$B$8,"")</f>
        <v/>
      </c>
      <c r="E71" s="5" t="str">
        <f>IF($B$7&gt;=51,(51-1)*0.25*$B$6*$B$5*(1+$B$6)^(51-1)-$B$8*(1+$B$6)^51,"")</f>
        <v/>
      </c>
      <c r="F71" s="5" t="str">
        <f>IF($B$7&gt;=51,$B$5*(1+$B$6)^51,"")</f>
        <v/>
      </c>
      <c r="G71" s="5" t="str">
        <f>IF($B$7&gt;=51,(3/12)*$B$5*(1+$B$6)^(51-1),"")</f>
        <v/>
      </c>
      <c r="H71" s="5" t="str">
        <f>IF($B$7&gt;=51,(9/12)*$B$5*(1+$B$6)^51,"")</f>
        <v/>
      </c>
      <c r="I71" s="5" t="str">
        <f>IF($B$7&gt;=51,G71+H71,"")</f>
        <v/>
      </c>
      <c r="J71" s="5" t="str">
        <f>IF($B$7&gt;=51,$B$8*(1+$B$6)^51,"")</f>
        <v/>
      </c>
      <c r="K71" s="5" t="str">
        <f>IF($B$7&gt;=51,(51-1)*0.25*$B$6*$B$5*(1+$B$6)^(51-1),"")</f>
        <v/>
      </c>
    </row>
    <row r="72" spans="1:11" x14ac:dyDescent="0.25">
      <c r="A72" s="4" t="str">
        <f>IF($B$7&gt;=52,52,"")</f>
        <v/>
      </c>
      <c r="B72" s="4" t="str">
        <f>IF($B$7&gt;=52,2026+52,"")</f>
        <v/>
      </c>
      <c r="C72" s="5" t="str">
        <f>IF($B$7&gt;=52,0.25*$B$6*$B$5*(1+$B$6)^(52-1),"")</f>
        <v/>
      </c>
      <c r="D72" s="5" t="str">
        <f>IF($B$7&gt;=52,SUM($C$21:C72)-$B$8,"")</f>
        <v/>
      </c>
      <c r="E72" s="5" t="str">
        <f>IF($B$7&gt;=52,(52-1)*0.25*$B$6*$B$5*(1+$B$6)^(52-1)-$B$8*(1+$B$6)^52,"")</f>
        <v/>
      </c>
      <c r="F72" s="5" t="str">
        <f>IF($B$7&gt;=52,$B$5*(1+$B$6)^52,"")</f>
        <v/>
      </c>
      <c r="G72" s="5" t="str">
        <f>IF($B$7&gt;=52,(3/12)*$B$5*(1+$B$6)^(52-1),"")</f>
        <v/>
      </c>
      <c r="H72" s="5" t="str">
        <f>IF($B$7&gt;=52,(9/12)*$B$5*(1+$B$6)^52,"")</f>
        <v/>
      </c>
      <c r="I72" s="5" t="str">
        <f>IF($B$7&gt;=52,G72+H72,"")</f>
        <v/>
      </c>
      <c r="J72" s="5" t="str">
        <f>IF($B$7&gt;=52,$B$8*(1+$B$6)^52,"")</f>
        <v/>
      </c>
      <c r="K72" s="5" t="str">
        <f>IF($B$7&gt;=52,(52-1)*0.25*$B$6*$B$5*(1+$B$6)^(52-1),"")</f>
        <v/>
      </c>
    </row>
    <row r="73" spans="1:11" x14ac:dyDescent="0.25">
      <c r="A73" s="4" t="str">
        <f>IF($B$7&gt;=53,53,"")</f>
        <v/>
      </c>
      <c r="B73" s="4" t="str">
        <f>IF($B$7&gt;=53,2026+53,"")</f>
        <v/>
      </c>
      <c r="C73" s="5" t="str">
        <f>IF($B$7&gt;=53,0.25*$B$6*$B$5*(1+$B$6)^(53-1),"")</f>
        <v/>
      </c>
      <c r="D73" s="5" t="str">
        <f>IF($B$7&gt;=53,SUM($C$21:C73)-$B$8,"")</f>
        <v/>
      </c>
      <c r="E73" s="5" t="str">
        <f>IF($B$7&gt;=53,(53-1)*0.25*$B$6*$B$5*(1+$B$6)^(53-1)-$B$8*(1+$B$6)^53,"")</f>
        <v/>
      </c>
      <c r="F73" s="5" t="str">
        <f>IF($B$7&gt;=53,$B$5*(1+$B$6)^53,"")</f>
        <v/>
      </c>
      <c r="G73" s="5" t="str">
        <f>IF($B$7&gt;=53,(3/12)*$B$5*(1+$B$6)^(53-1),"")</f>
        <v/>
      </c>
      <c r="H73" s="5" t="str">
        <f>IF($B$7&gt;=53,(9/12)*$B$5*(1+$B$6)^53,"")</f>
        <v/>
      </c>
      <c r="I73" s="5" t="str">
        <f>IF($B$7&gt;=53,G73+H73,"")</f>
        <v/>
      </c>
      <c r="J73" s="5" t="str">
        <f>IF($B$7&gt;=53,$B$8*(1+$B$6)^53,"")</f>
        <v/>
      </c>
      <c r="K73" s="5" t="str">
        <f>IF($B$7&gt;=53,(53-1)*0.25*$B$6*$B$5*(1+$B$6)^(53-1),"")</f>
        <v/>
      </c>
    </row>
    <row r="74" spans="1:11" x14ac:dyDescent="0.25">
      <c r="A74" s="4" t="str">
        <f>IF($B$7&gt;=54,54,"")</f>
        <v/>
      </c>
      <c r="B74" s="4" t="str">
        <f>IF($B$7&gt;=54,2026+54,"")</f>
        <v/>
      </c>
      <c r="C74" s="5" t="str">
        <f>IF($B$7&gt;=54,0.25*$B$6*$B$5*(1+$B$6)^(54-1),"")</f>
        <v/>
      </c>
      <c r="D74" s="5" t="str">
        <f>IF($B$7&gt;=54,SUM($C$21:C74)-$B$8,"")</f>
        <v/>
      </c>
      <c r="E74" s="5" t="str">
        <f>IF($B$7&gt;=54,(54-1)*0.25*$B$6*$B$5*(1+$B$6)^(54-1)-$B$8*(1+$B$6)^54,"")</f>
        <v/>
      </c>
      <c r="F74" s="5" t="str">
        <f>IF($B$7&gt;=54,$B$5*(1+$B$6)^54,"")</f>
        <v/>
      </c>
      <c r="G74" s="5" t="str">
        <f>IF($B$7&gt;=54,(3/12)*$B$5*(1+$B$6)^(54-1),"")</f>
        <v/>
      </c>
      <c r="H74" s="5" t="str">
        <f>IF($B$7&gt;=54,(9/12)*$B$5*(1+$B$6)^54,"")</f>
        <v/>
      </c>
      <c r="I74" s="5" t="str">
        <f>IF($B$7&gt;=54,G74+H74,"")</f>
        <v/>
      </c>
      <c r="J74" s="5" t="str">
        <f>IF($B$7&gt;=54,$B$8*(1+$B$6)^54,"")</f>
        <v/>
      </c>
      <c r="K74" s="5" t="str">
        <f>IF($B$7&gt;=54,(54-1)*0.25*$B$6*$B$5*(1+$B$6)^(54-1),"")</f>
        <v/>
      </c>
    </row>
    <row r="75" spans="1:11" x14ac:dyDescent="0.25">
      <c r="A75" s="4" t="str">
        <f>IF($B$7&gt;=55,55,"")</f>
        <v/>
      </c>
      <c r="B75" s="4" t="str">
        <f>IF($B$7&gt;=55,2026+55,"")</f>
        <v/>
      </c>
      <c r="C75" s="5" t="str">
        <f>IF($B$7&gt;=55,0.25*$B$6*$B$5*(1+$B$6)^(55-1),"")</f>
        <v/>
      </c>
      <c r="D75" s="5" t="str">
        <f>IF($B$7&gt;=55,SUM($C$21:C75)-$B$8,"")</f>
        <v/>
      </c>
      <c r="E75" s="5" t="str">
        <f>IF($B$7&gt;=55,(55-1)*0.25*$B$6*$B$5*(1+$B$6)^(55-1)-$B$8*(1+$B$6)^55,"")</f>
        <v/>
      </c>
      <c r="F75" s="5" t="str">
        <f>IF($B$7&gt;=55,$B$5*(1+$B$6)^55,"")</f>
        <v/>
      </c>
      <c r="G75" s="5" t="str">
        <f>IF($B$7&gt;=55,(3/12)*$B$5*(1+$B$6)^(55-1),"")</f>
        <v/>
      </c>
      <c r="H75" s="5" t="str">
        <f>IF($B$7&gt;=55,(9/12)*$B$5*(1+$B$6)^55,"")</f>
        <v/>
      </c>
      <c r="I75" s="5" t="str">
        <f>IF($B$7&gt;=55,G75+H75,"")</f>
        <v/>
      </c>
      <c r="J75" s="5" t="str">
        <f>IF($B$7&gt;=55,$B$8*(1+$B$6)^55,"")</f>
        <v/>
      </c>
      <c r="K75" s="5" t="str">
        <f>IF($B$7&gt;=55,(55-1)*0.25*$B$6*$B$5*(1+$B$6)^(55-1),"")</f>
        <v/>
      </c>
    </row>
    <row r="76" spans="1:11" x14ac:dyDescent="0.25">
      <c r="A76" s="4" t="str">
        <f>IF($B$7&gt;=56,56,"")</f>
        <v/>
      </c>
      <c r="B76" s="4" t="str">
        <f>IF($B$7&gt;=56,2026+56,"")</f>
        <v/>
      </c>
      <c r="C76" s="5" t="str">
        <f>IF($B$7&gt;=56,0.25*$B$6*$B$5*(1+$B$6)^(56-1),"")</f>
        <v/>
      </c>
      <c r="D76" s="5" t="str">
        <f>IF($B$7&gt;=56,SUM($C$21:C76)-$B$8,"")</f>
        <v/>
      </c>
      <c r="E76" s="5" t="str">
        <f>IF($B$7&gt;=56,(56-1)*0.25*$B$6*$B$5*(1+$B$6)^(56-1)-$B$8*(1+$B$6)^56,"")</f>
        <v/>
      </c>
      <c r="F76" s="5" t="str">
        <f>IF($B$7&gt;=56,$B$5*(1+$B$6)^56,"")</f>
        <v/>
      </c>
      <c r="G76" s="5" t="str">
        <f>IF($B$7&gt;=56,(3/12)*$B$5*(1+$B$6)^(56-1),"")</f>
        <v/>
      </c>
      <c r="H76" s="5" t="str">
        <f>IF($B$7&gt;=56,(9/12)*$B$5*(1+$B$6)^56,"")</f>
        <v/>
      </c>
      <c r="I76" s="5" t="str">
        <f>IF($B$7&gt;=56,G76+H76,"")</f>
        <v/>
      </c>
      <c r="J76" s="5" t="str">
        <f>IF($B$7&gt;=56,$B$8*(1+$B$6)^56,"")</f>
        <v/>
      </c>
      <c r="K76" s="5" t="str">
        <f>IF($B$7&gt;=56,(56-1)*0.25*$B$6*$B$5*(1+$B$6)^(56-1),"")</f>
        <v/>
      </c>
    </row>
    <row r="77" spans="1:11" x14ac:dyDescent="0.25">
      <c r="A77" s="4" t="str">
        <f>IF($B$7&gt;=57,57,"")</f>
        <v/>
      </c>
      <c r="B77" s="4" t="str">
        <f>IF($B$7&gt;=57,2026+57,"")</f>
        <v/>
      </c>
      <c r="C77" s="5" t="str">
        <f>IF($B$7&gt;=57,0.25*$B$6*$B$5*(1+$B$6)^(57-1),"")</f>
        <v/>
      </c>
      <c r="D77" s="5" t="str">
        <f>IF($B$7&gt;=57,SUM($C$21:C77)-$B$8,"")</f>
        <v/>
      </c>
      <c r="E77" s="5" t="str">
        <f>IF($B$7&gt;=57,(57-1)*0.25*$B$6*$B$5*(1+$B$6)^(57-1)-$B$8*(1+$B$6)^57,"")</f>
        <v/>
      </c>
      <c r="F77" s="5" t="str">
        <f>IF($B$7&gt;=57,$B$5*(1+$B$6)^57,"")</f>
        <v/>
      </c>
      <c r="G77" s="5" t="str">
        <f>IF($B$7&gt;=57,(3/12)*$B$5*(1+$B$6)^(57-1),"")</f>
        <v/>
      </c>
      <c r="H77" s="5" t="str">
        <f>IF($B$7&gt;=57,(9/12)*$B$5*(1+$B$6)^57,"")</f>
        <v/>
      </c>
      <c r="I77" s="5" t="str">
        <f>IF($B$7&gt;=57,G77+H77,"")</f>
        <v/>
      </c>
      <c r="J77" s="5" t="str">
        <f>IF($B$7&gt;=57,$B$8*(1+$B$6)^57,"")</f>
        <v/>
      </c>
      <c r="K77" s="5" t="str">
        <f>IF($B$7&gt;=57,(57-1)*0.25*$B$6*$B$5*(1+$B$6)^(57-1),"")</f>
        <v/>
      </c>
    </row>
    <row r="78" spans="1:11" x14ac:dyDescent="0.25">
      <c r="A78" s="4" t="str">
        <f>IF($B$7&gt;=58,58,"")</f>
        <v/>
      </c>
      <c r="B78" s="4" t="str">
        <f>IF($B$7&gt;=58,2026+58,"")</f>
        <v/>
      </c>
      <c r="C78" s="5" t="str">
        <f>IF($B$7&gt;=58,0.25*$B$6*$B$5*(1+$B$6)^(58-1),"")</f>
        <v/>
      </c>
      <c r="D78" s="5" t="str">
        <f>IF($B$7&gt;=58,SUM($C$21:C78)-$B$8,"")</f>
        <v/>
      </c>
      <c r="E78" s="5" t="str">
        <f>IF($B$7&gt;=58,(58-1)*0.25*$B$6*$B$5*(1+$B$6)^(58-1)-$B$8*(1+$B$6)^58,"")</f>
        <v/>
      </c>
      <c r="F78" s="5" t="str">
        <f>IF($B$7&gt;=58,$B$5*(1+$B$6)^58,"")</f>
        <v/>
      </c>
      <c r="G78" s="5" t="str">
        <f>IF($B$7&gt;=58,(3/12)*$B$5*(1+$B$6)^(58-1),"")</f>
        <v/>
      </c>
      <c r="H78" s="5" t="str">
        <f>IF($B$7&gt;=58,(9/12)*$B$5*(1+$B$6)^58,"")</f>
        <v/>
      </c>
      <c r="I78" s="5" t="str">
        <f>IF($B$7&gt;=58,G78+H78,"")</f>
        <v/>
      </c>
      <c r="J78" s="5" t="str">
        <f>IF($B$7&gt;=58,$B$8*(1+$B$6)^58,"")</f>
        <v/>
      </c>
      <c r="K78" s="5" t="str">
        <f>IF($B$7&gt;=58,(58-1)*0.25*$B$6*$B$5*(1+$B$6)^(58-1),"")</f>
        <v/>
      </c>
    </row>
    <row r="79" spans="1:11" x14ac:dyDescent="0.25">
      <c r="A79" s="4" t="str">
        <f>IF($B$7&gt;=59,59,"")</f>
        <v/>
      </c>
      <c r="B79" s="4" t="str">
        <f>IF($B$7&gt;=59,2026+59,"")</f>
        <v/>
      </c>
      <c r="C79" s="5" t="str">
        <f>IF($B$7&gt;=59,0.25*$B$6*$B$5*(1+$B$6)^(59-1),"")</f>
        <v/>
      </c>
      <c r="D79" s="5" t="str">
        <f>IF($B$7&gt;=59,SUM($C$21:C79)-$B$8,"")</f>
        <v/>
      </c>
      <c r="E79" s="5" t="str">
        <f>IF($B$7&gt;=59,(59-1)*0.25*$B$6*$B$5*(1+$B$6)^(59-1)-$B$8*(1+$B$6)^59,"")</f>
        <v/>
      </c>
      <c r="F79" s="5" t="str">
        <f>IF($B$7&gt;=59,$B$5*(1+$B$6)^59,"")</f>
        <v/>
      </c>
      <c r="G79" s="5" t="str">
        <f>IF($B$7&gt;=59,(3/12)*$B$5*(1+$B$6)^(59-1),"")</f>
        <v/>
      </c>
      <c r="H79" s="5" t="str">
        <f>IF($B$7&gt;=59,(9/12)*$B$5*(1+$B$6)^59,"")</f>
        <v/>
      </c>
      <c r="I79" s="5" t="str">
        <f>IF($B$7&gt;=59,G79+H79,"")</f>
        <v/>
      </c>
      <c r="J79" s="5" t="str">
        <f>IF($B$7&gt;=59,$B$8*(1+$B$6)^59,"")</f>
        <v/>
      </c>
      <c r="K79" s="5" t="str">
        <f>IF($B$7&gt;=59,(59-1)*0.25*$B$6*$B$5*(1+$B$6)^(59-1),"")</f>
        <v/>
      </c>
    </row>
    <row r="80" spans="1:11" x14ac:dyDescent="0.25">
      <c r="A80" s="4" t="str">
        <f>IF($B$7&gt;=60,60,"")</f>
        <v/>
      </c>
      <c r="B80" s="4" t="str">
        <f>IF($B$7&gt;=60,2026+60,"")</f>
        <v/>
      </c>
      <c r="C80" s="5" t="str">
        <f>IF($B$7&gt;=60,0.25*$B$6*$B$5*(1+$B$6)^(60-1),"")</f>
        <v/>
      </c>
      <c r="D80" s="5" t="str">
        <f>IF($B$7&gt;=60,SUM($C$21:C80)-$B$8,"")</f>
        <v/>
      </c>
      <c r="E80" s="5" t="str">
        <f>IF($B$7&gt;=60,(60-1)*0.25*$B$6*$B$5*(1+$B$6)^(60-1)-$B$8*(1+$B$6)^60,"")</f>
        <v/>
      </c>
      <c r="F80" s="5" t="str">
        <f>IF($B$7&gt;=60,$B$5*(1+$B$6)^60,"")</f>
        <v/>
      </c>
      <c r="G80" s="5" t="str">
        <f>IF($B$7&gt;=60,(3/12)*$B$5*(1+$B$6)^(60-1),"")</f>
        <v/>
      </c>
      <c r="H80" s="5" t="str">
        <f>IF($B$7&gt;=60,(9/12)*$B$5*(1+$B$6)^60,"")</f>
        <v/>
      </c>
      <c r="I80" s="5" t="str">
        <f>IF($B$7&gt;=60,G80+H80,"")</f>
        <v/>
      </c>
      <c r="J80" s="5" t="str">
        <f>IF($B$7&gt;=60,$B$8*(1+$B$6)^60,"")</f>
        <v/>
      </c>
      <c r="K80" s="5" t="str">
        <f>IF($B$7&gt;=60,(60-1)*0.25*$B$6*$B$5*(1+$B$6)^(60-1),"")</f>
        <v/>
      </c>
    </row>
  </sheetData>
  <mergeCells count="9">
    <mergeCell ref="A13:H13"/>
    <mergeCell ref="A16:H16"/>
    <mergeCell ref="A18:D18"/>
    <mergeCell ref="A19:H19"/>
    <mergeCell ref="A1:E1"/>
    <mergeCell ref="A2:K2"/>
    <mergeCell ref="A4:B4"/>
    <mergeCell ref="A9:H9"/>
    <mergeCell ref="A11:B11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/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Calculadora</vt:lpstr>
    </vt:vector>
  </TitlesOfParts>
  <LinksUpToDate>false</LinksUpToDate>
  <SharedDoc>false</SharedDoc>
  <HyperlinksChanged>false</HyperlinksChanged>
  <AppVers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/>
  <dcterms:created xsi:type="dcterms:W3CDTF"/>
  <dcterms:modified xsi:type="dcterms:W3CDTF"/>
  <dc:language>en-US</dc:language>
</cp:coreProperties>
</file>